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ITOR\Downloads\"/>
    </mc:Choice>
  </mc:AlternateContent>
  <xr:revisionPtr revIDLastSave="0" documentId="13_ncr:1_{DBC98D23-703A-48C3-A679-9EADCF7E05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59" i="1" l="1"/>
  <c r="F1459" i="1" s="1"/>
  <c r="G1459" i="1" s="1"/>
  <c r="H1459" i="1" s="1"/>
  <c r="I1459" i="1" s="1"/>
  <c r="J1459" i="1" s="1"/>
  <c r="K1459" i="1" s="1"/>
  <c r="L1459" i="1" s="1"/>
  <c r="M1459" i="1" s="1"/>
  <c r="N1459" i="1" s="1"/>
  <c r="B1458" i="1"/>
  <c r="P1451" i="1"/>
  <c r="E1448" i="1"/>
  <c r="P1442" i="1"/>
  <c r="C1442" i="1"/>
  <c r="D1442" i="1" s="1"/>
  <c r="E1442" i="1" s="1"/>
  <c r="F1442" i="1" s="1"/>
  <c r="G1442" i="1" s="1"/>
  <c r="H1442" i="1" s="1"/>
  <c r="I1442" i="1" s="1"/>
  <c r="J1442" i="1" s="1"/>
  <c r="K1442" i="1" s="1"/>
  <c r="L1442" i="1" s="1"/>
  <c r="M1442" i="1" s="1"/>
  <c r="N1442" i="1" s="1"/>
  <c r="E1440" i="1"/>
  <c r="P1434" i="1"/>
  <c r="C1434" i="1"/>
  <c r="O1434" i="1" s="1"/>
  <c r="E1432" i="1"/>
  <c r="P1424" i="1"/>
  <c r="C1424" i="1"/>
  <c r="O1424" i="1" s="1"/>
  <c r="E1422" i="1"/>
  <c r="P1414" i="1" s="1"/>
  <c r="C1414" i="1"/>
  <c r="D1414" i="1" s="1"/>
  <c r="E1414" i="1" s="1"/>
  <c r="F1414" i="1" s="1"/>
  <c r="G1414" i="1" s="1"/>
  <c r="H1414" i="1" s="1"/>
  <c r="I1414" i="1" s="1"/>
  <c r="J1414" i="1" s="1"/>
  <c r="K1414" i="1" s="1"/>
  <c r="L1414" i="1" s="1"/>
  <c r="M1414" i="1" s="1"/>
  <c r="N1414" i="1" s="1"/>
  <c r="E1412" i="1"/>
  <c r="P1405" i="1" s="1"/>
  <c r="C1405" i="1"/>
  <c r="D1405" i="1" s="1"/>
  <c r="E1405" i="1" s="1"/>
  <c r="F1405" i="1" s="1"/>
  <c r="G1405" i="1" s="1"/>
  <c r="H1405" i="1" s="1"/>
  <c r="I1405" i="1" s="1"/>
  <c r="J1405" i="1" s="1"/>
  <c r="K1405" i="1" s="1"/>
  <c r="L1405" i="1" s="1"/>
  <c r="M1405" i="1" s="1"/>
  <c r="N1405" i="1" s="1"/>
  <c r="E1403" i="1"/>
  <c r="P1396" i="1"/>
  <c r="C1396" i="1"/>
  <c r="D1396" i="1" s="1"/>
  <c r="E1396" i="1" s="1"/>
  <c r="F1396" i="1" s="1"/>
  <c r="G1396" i="1" s="1"/>
  <c r="H1396" i="1" s="1"/>
  <c r="I1396" i="1" s="1"/>
  <c r="J1396" i="1" s="1"/>
  <c r="K1396" i="1" s="1"/>
  <c r="L1396" i="1" s="1"/>
  <c r="M1396" i="1" s="1"/>
  <c r="N1396" i="1" s="1"/>
  <c r="E1394" i="1"/>
  <c r="P1388" i="1"/>
  <c r="F813" i="1" s="1"/>
  <c r="C1388" i="1"/>
  <c r="O1388" i="1" s="1"/>
  <c r="E1386" i="1"/>
  <c r="P1378" i="1" s="1"/>
  <c r="C1378" i="1"/>
  <c r="D1378" i="1" s="1"/>
  <c r="E1378" i="1" s="1"/>
  <c r="F1378" i="1" s="1"/>
  <c r="G1378" i="1" s="1"/>
  <c r="H1378" i="1" s="1"/>
  <c r="I1378" i="1" s="1"/>
  <c r="J1378" i="1" s="1"/>
  <c r="K1378" i="1" s="1"/>
  <c r="L1378" i="1" s="1"/>
  <c r="M1378" i="1" s="1"/>
  <c r="N1378" i="1" s="1"/>
  <c r="E1376" i="1"/>
  <c r="P1368" i="1"/>
  <c r="C1368" i="1"/>
  <c r="E1366" i="1"/>
  <c r="P1359" i="1"/>
  <c r="C1359" i="1"/>
  <c r="D1359" i="1" s="1"/>
  <c r="E1359" i="1" s="1"/>
  <c r="F1359" i="1" s="1"/>
  <c r="G1359" i="1" s="1"/>
  <c r="H1359" i="1" s="1"/>
  <c r="I1359" i="1" s="1"/>
  <c r="J1359" i="1" s="1"/>
  <c r="K1359" i="1" s="1"/>
  <c r="L1359" i="1" s="1"/>
  <c r="M1359" i="1" s="1"/>
  <c r="N1359" i="1" s="1"/>
  <c r="P1353" i="1"/>
  <c r="C1353" i="1"/>
  <c r="D1353" i="1" s="1"/>
  <c r="E1353" i="1" s="1"/>
  <c r="F1353" i="1" s="1"/>
  <c r="G1353" i="1" s="1"/>
  <c r="H1353" i="1" s="1"/>
  <c r="I1353" i="1" s="1"/>
  <c r="J1353" i="1" s="1"/>
  <c r="K1353" i="1" s="1"/>
  <c r="L1353" i="1" s="1"/>
  <c r="M1353" i="1" s="1"/>
  <c r="N1353" i="1" s="1"/>
  <c r="E1351" i="1"/>
  <c r="P1344" i="1"/>
  <c r="C1344" i="1"/>
  <c r="D1344" i="1" s="1"/>
  <c r="E1344" i="1" s="1"/>
  <c r="F1344" i="1" s="1"/>
  <c r="G1344" i="1" s="1"/>
  <c r="H1344" i="1" s="1"/>
  <c r="I1344" i="1" s="1"/>
  <c r="J1344" i="1" s="1"/>
  <c r="K1344" i="1" s="1"/>
  <c r="L1344" i="1" s="1"/>
  <c r="M1344" i="1" s="1"/>
  <c r="N1344" i="1" s="1"/>
  <c r="P1338" i="1"/>
  <c r="C1338" i="1"/>
  <c r="O1338" i="1" s="1"/>
  <c r="I1334" i="1"/>
  <c r="I1333" i="1"/>
  <c r="C1329" i="1"/>
  <c r="E1327" i="1"/>
  <c r="P1316" i="1"/>
  <c r="C1316" i="1"/>
  <c r="I1312" i="1"/>
  <c r="I1311" i="1"/>
  <c r="I1310" i="1"/>
  <c r="I1309" i="1"/>
  <c r="I1308" i="1"/>
  <c r="I1307" i="1"/>
  <c r="I1314" i="1" s="1"/>
  <c r="P1303" i="1" s="1"/>
  <c r="C1303" i="1"/>
  <c r="D1303" i="1" s="1"/>
  <c r="E1303" i="1" s="1"/>
  <c r="F1303" i="1" s="1"/>
  <c r="G1303" i="1" s="1"/>
  <c r="H1303" i="1" s="1"/>
  <c r="I1303" i="1" s="1"/>
  <c r="J1303" i="1" s="1"/>
  <c r="K1303" i="1" s="1"/>
  <c r="L1303" i="1" s="1"/>
  <c r="M1303" i="1" s="1"/>
  <c r="N1303" i="1" s="1"/>
  <c r="E1301" i="1"/>
  <c r="P1294" i="1"/>
  <c r="C1294" i="1"/>
  <c r="D1294" i="1" s="1"/>
  <c r="E1294" i="1" s="1"/>
  <c r="F1294" i="1" s="1"/>
  <c r="G1294" i="1" s="1"/>
  <c r="H1294" i="1" s="1"/>
  <c r="I1294" i="1" s="1"/>
  <c r="J1294" i="1" s="1"/>
  <c r="K1294" i="1" s="1"/>
  <c r="L1294" i="1" s="1"/>
  <c r="M1294" i="1" s="1"/>
  <c r="N1294" i="1" s="1"/>
  <c r="E1292" i="1"/>
  <c r="P1283" i="1" s="1"/>
  <c r="C1283" i="1"/>
  <c r="E1281" i="1"/>
  <c r="P1259" i="1" s="1"/>
  <c r="C1259" i="1"/>
  <c r="E1257" i="1"/>
  <c r="P1250" i="1" s="1"/>
  <c r="C1250" i="1"/>
  <c r="D1250" i="1" s="1"/>
  <c r="E1250" i="1" s="1"/>
  <c r="F1250" i="1" s="1"/>
  <c r="G1250" i="1" s="1"/>
  <c r="H1250" i="1" s="1"/>
  <c r="I1250" i="1" s="1"/>
  <c r="J1250" i="1" s="1"/>
  <c r="K1250" i="1" s="1"/>
  <c r="L1250" i="1" s="1"/>
  <c r="M1250" i="1" s="1"/>
  <c r="N1250" i="1" s="1"/>
  <c r="E1247" i="1"/>
  <c r="P1216" i="1"/>
  <c r="C1216" i="1"/>
  <c r="B1215" i="1"/>
  <c r="M1212" i="1"/>
  <c r="M1211" i="1"/>
  <c r="M1210" i="1"/>
  <c r="M1209" i="1"/>
  <c r="M1208" i="1"/>
  <c r="M1207" i="1"/>
  <c r="M1206" i="1"/>
  <c r="M1205" i="1"/>
  <c r="E1204" i="1"/>
  <c r="M1204" i="1" s="1"/>
  <c r="M1203" i="1"/>
  <c r="M1202" i="1"/>
  <c r="M1201" i="1"/>
  <c r="M1214" i="1" s="1"/>
  <c r="P1196" i="1" s="1"/>
  <c r="M1200" i="1"/>
  <c r="C1196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94" i="1" s="1"/>
  <c r="P1101" i="1" s="1"/>
  <c r="M1107" i="1"/>
  <c r="C1101" i="1"/>
  <c r="D1101" i="1" s="1"/>
  <c r="E1101" i="1" s="1"/>
  <c r="F1101" i="1" s="1"/>
  <c r="G1101" i="1" s="1"/>
  <c r="H1101" i="1" s="1"/>
  <c r="I1101" i="1" s="1"/>
  <c r="J1101" i="1" s="1"/>
  <c r="K1101" i="1" s="1"/>
  <c r="L1101" i="1" s="1"/>
  <c r="M1101" i="1" s="1"/>
  <c r="N1101" i="1" s="1"/>
  <c r="E1099" i="1"/>
  <c r="E1092" i="1"/>
  <c r="P1088" i="1"/>
  <c r="C1088" i="1"/>
  <c r="O1088" i="1" s="1"/>
  <c r="K1084" i="1"/>
  <c r="G1083" i="1"/>
  <c r="K1083" i="1" s="1"/>
  <c r="K1082" i="1"/>
  <c r="C1078" i="1"/>
  <c r="O1078" i="1" s="1"/>
  <c r="M1070" i="1"/>
  <c r="M1066" i="1"/>
  <c r="M1065" i="1"/>
  <c r="M1064" i="1"/>
  <c r="M1063" i="1"/>
  <c r="M1062" i="1"/>
  <c r="M1061" i="1"/>
  <c r="M1060" i="1"/>
  <c r="M1059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1072" i="1" s="1"/>
  <c r="G1076" i="1" s="1"/>
  <c r="E975" i="1"/>
  <c r="M975" i="1" s="1"/>
  <c r="M974" i="1"/>
  <c r="E974" i="1"/>
  <c r="M973" i="1"/>
  <c r="E973" i="1"/>
  <c r="E972" i="1"/>
  <c r="M972" i="1" s="1"/>
  <c r="M968" i="1"/>
  <c r="G967" i="1"/>
  <c r="M967" i="1" s="1"/>
  <c r="G966" i="1"/>
  <c r="M966" i="1" s="1"/>
  <c r="M965" i="1"/>
  <c r="M964" i="1"/>
  <c r="G964" i="1"/>
  <c r="M963" i="1"/>
  <c r="G963" i="1"/>
  <c r="G962" i="1"/>
  <c r="M962" i="1" s="1"/>
  <c r="M961" i="1"/>
  <c r="M960" i="1"/>
  <c r="M959" i="1"/>
  <c r="M958" i="1"/>
  <c r="M957" i="1"/>
  <c r="M956" i="1"/>
  <c r="M955" i="1"/>
  <c r="M954" i="1"/>
  <c r="M953" i="1"/>
  <c r="E953" i="1"/>
  <c r="M952" i="1"/>
  <c r="M951" i="1"/>
  <c r="M950" i="1"/>
  <c r="G950" i="1"/>
  <c r="M949" i="1"/>
  <c r="G949" i="1"/>
  <c r="G948" i="1"/>
  <c r="M948" i="1" s="1"/>
  <c r="M947" i="1"/>
  <c r="M946" i="1"/>
  <c r="M945" i="1"/>
  <c r="M944" i="1"/>
  <c r="M943" i="1"/>
  <c r="M942" i="1"/>
  <c r="G941" i="1"/>
  <c r="M941" i="1" s="1"/>
  <c r="M940" i="1"/>
  <c r="M939" i="1"/>
  <c r="M938" i="1"/>
  <c r="M937" i="1"/>
  <c r="M936" i="1"/>
  <c r="M935" i="1"/>
  <c r="M934" i="1"/>
  <c r="M933" i="1"/>
  <c r="E932" i="1"/>
  <c r="M932" i="1" s="1"/>
  <c r="M931" i="1"/>
  <c r="C927" i="1"/>
  <c r="D927" i="1" s="1"/>
  <c r="E927" i="1" s="1"/>
  <c r="F927" i="1" s="1"/>
  <c r="G927" i="1" s="1"/>
  <c r="H927" i="1" s="1"/>
  <c r="I927" i="1" s="1"/>
  <c r="J927" i="1" s="1"/>
  <c r="K927" i="1" s="1"/>
  <c r="L927" i="1" s="1"/>
  <c r="M927" i="1" s="1"/>
  <c r="N927" i="1" s="1"/>
  <c r="B926" i="1"/>
  <c r="O922" i="1"/>
  <c r="D922" i="1"/>
  <c r="E922" i="1" s="1"/>
  <c r="F922" i="1" s="1"/>
  <c r="G922" i="1" s="1"/>
  <c r="H922" i="1" s="1"/>
  <c r="I922" i="1" s="1"/>
  <c r="J922" i="1" s="1"/>
  <c r="K922" i="1" s="1"/>
  <c r="L922" i="1" s="1"/>
  <c r="M922" i="1" s="1"/>
  <c r="N922" i="1" s="1"/>
  <c r="O916" i="1"/>
  <c r="D916" i="1"/>
  <c r="E916" i="1" s="1"/>
  <c r="F916" i="1" s="1"/>
  <c r="G916" i="1" s="1"/>
  <c r="H916" i="1" s="1"/>
  <c r="I916" i="1" s="1"/>
  <c r="J916" i="1" s="1"/>
  <c r="K916" i="1" s="1"/>
  <c r="L916" i="1" s="1"/>
  <c r="M916" i="1" s="1"/>
  <c r="N916" i="1" s="1"/>
  <c r="E914" i="1"/>
  <c r="C907" i="1"/>
  <c r="E905" i="1"/>
  <c r="C898" i="1"/>
  <c r="D898" i="1" s="1"/>
  <c r="E898" i="1" s="1"/>
  <c r="F898" i="1" s="1"/>
  <c r="G898" i="1" s="1"/>
  <c r="H898" i="1" s="1"/>
  <c r="I898" i="1" s="1"/>
  <c r="J898" i="1" s="1"/>
  <c r="K898" i="1" s="1"/>
  <c r="L898" i="1" s="1"/>
  <c r="M898" i="1" s="1"/>
  <c r="N898" i="1" s="1"/>
  <c r="E896" i="1"/>
  <c r="P889" i="1" s="1"/>
  <c r="C889" i="1"/>
  <c r="O889" i="1" s="1"/>
  <c r="P883" i="1"/>
  <c r="C883" i="1"/>
  <c r="O883" i="1" s="1"/>
  <c r="E881" i="1"/>
  <c r="P877" i="1"/>
  <c r="C877" i="1"/>
  <c r="O877" i="1" s="1"/>
  <c r="B876" i="1"/>
  <c r="F874" i="1"/>
  <c r="P872" i="1"/>
  <c r="C872" i="1"/>
  <c r="P868" i="1"/>
  <c r="O868" i="1"/>
  <c r="D868" i="1"/>
  <c r="E868" i="1" s="1"/>
  <c r="F868" i="1" s="1"/>
  <c r="G868" i="1" s="1"/>
  <c r="H868" i="1" s="1"/>
  <c r="I868" i="1" s="1"/>
  <c r="J868" i="1" s="1"/>
  <c r="K868" i="1" s="1"/>
  <c r="L868" i="1" s="1"/>
  <c r="M868" i="1" s="1"/>
  <c r="N868" i="1" s="1"/>
  <c r="C868" i="1"/>
  <c r="C864" i="1"/>
  <c r="O864" i="1" s="1"/>
  <c r="C860" i="1"/>
  <c r="C855" i="1"/>
  <c r="L852" i="1"/>
  <c r="C849" i="1"/>
  <c r="O849" i="1" s="1"/>
  <c r="C843" i="1"/>
  <c r="C839" i="1"/>
  <c r="F837" i="1"/>
  <c r="D837" i="1"/>
  <c r="P835" i="1"/>
  <c r="F862" i="1" s="1"/>
  <c r="C835" i="1"/>
  <c r="D835" i="1" s="1"/>
  <c r="E835" i="1" s="1"/>
  <c r="F835" i="1" s="1"/>
  <c r="G835" i="1" s="1"/>
  <c r="H835" i="1" s="1"/>
  <c r="I835" i="1" s="1"/>
  <c r="J835" i="1" s="1"/>
  <c r="K835" i="1" s="1"/>
  <c r="L835" i="1" s="1"/>
  <c r="M835" i="1" s="1"/>
  <c r="N835" i="1" s="1"/>
  <c r="F833" i="1"/>
  <c r="P831" i="1" s="1"/>
  <c r="F858" i="1" s="1"/>
  <c r="L858" i="1" s="1"/>
  <c r="D833" i="1"/>
  <c r="O831" i="1"/>
  <c r="F831" i="1"/>
  <c r="G831" i="1" s="1"/>
  <c r="H831" i="1" s="1"/>
  <c r="I831" i="1" s="1"/>
  <c r="J831" i="1" s="1"/>
  <c r="K831" i="1" s="1"/>
  <c r="L831" i="1" s="1"/>
  <c r="M831" i="1" s="1"/>
  <c r="N831" i="1" s="1"/>
  <c r="C831" i="1"/>
  <c r="D831" i="1" s="1"/>
  <c r="E831" i="1" s="1"/>
  <c r="F829" i="1"/>
  <c r="P827" i="1" s="1"/>
  <c r="F857" i="1" s="1"/>
  <c r="D829" i="1"/>
  <c r="C827" i="1"/>
  <c r="O827" i="1" s="1"/>
  <c r="F825" i="1"/>
  <c r="D825" i="1"/>
  <c r="P823" i="1"/>
  <c r="F852" i="1" s="1"/>
  <c r="C823" i="1"/>
  <c r="O823" i="1" s="1"/>
  <c r="F821" i="1"/>
  <c r="D821" i="1"/>
  <c r="P819" i="1"/>
  <c r="F851" i="1" s="1"/>
  <c r="C819" i="1"/>
  <c r="D819" i="1" s="1"/>
  <c r="E819" i="1" s="1"/>
  <c r="F819" i="1" s="1"/>
  <c r="G819" i="1" s="1"/>
  <c r="H819" i="1" s="1"/>
  <c r="I819" i="1" s="1"/>
  <c r="J819" i="1" s="1"/>
  <c r="K819" i="1" s="1"/>
  <c r="L819" i="1" s="1"/>
  <c r="M819" i="1" s="1"/>
  <c r="N819" i="1" s="1"/>
  <c r="F817" i="1"/>
  <c r="P815" i="1" s="1"/>
  <c r="F846" i="1" s="1"/>
  <c r="L846" i="1" s="1"/>
  <c r="D817" i="1"/>
  <c r="C815" i="1"/>
  <c r="D813" i="1"/>
  <c r="P811" i="1"/>
  <c r="F845" i="1" s="1"/>
  <c r="F847" i="1" s="1"/>
  <c r="P843" i="1" s="1"/>
  <c r="C811" i="1"/>
  <c r="O811" i="1" s="1"/>
  <c r="E809" i="1"/>
  <c r="P799" i="1" s="1"/>
  <c r="C799" i="1"/>
  <c r="O799" i="1" s="1"/>
  <c r="P794" i="1"/>
  <c r="C794" i="1"/>
  <c r="O794" i="1" s="1"/>
  <c r="E792" i="1"/>
  <c r="P781" i="1"/>
  <c r="C781" i="1"/>
  <c r="D781" i="1" s="1"/>
  <c r="E781" i="1" s="1"/>
  <c r="F781" i="1" s="1"/>
  <c r="G781" i="1" s="1"/>
  <c r="H781" i="1" s="1"/>
  <c r="I781" i="1" s="1"/>
  <c r="J781" i="1" s="1"/>
  <c r="K781" i="1" s="1"/>
  <c r="L781" i="1" s="1"/>
  <c r="M781" i="1" s="1"/>
  <c r="N781" i="1" s="1"/>
  <c r="P774" i="1"/>
  <c r="C774" i="1"/>
  <c r="P767" i="1"/>
  <c r="D767" i="1"/>
  <c r="E767" i="1" s="1"/>
  <c r="F767" i="1" s="1"/>
  <c r="G767" i="1" s="1"/>
  <c r="H767" i="1" s="1"/>
  <c r="I767" i="1" s="1"/>
  <c r="J767" i="1" s="1"/>
  <c r="K767" i="1" s="1"/>
  <c r="L767" i="1" s="1"/>
  <c r="M767" i="1" s="1"/>
  <c r="N767" i="1" s="1"/>
  <c r="C767" i="1"/>
  <c r="O767" i="1" s="1"/>
  <c r="P760" i="1"/>
  <c r="C760" i="1"/>
  <c r="D760" i="1" s="1"/>
  <c r="E760" i="1" s="1"/>
  <c r="F760" i="1" s="1"/>
  <c r="G760" i="1" s="1"/>
  <c r="H760" i="1" s="1"/>
  <c r="I760" i="1" s="1"/>
  <c r="J760" i="1" s="1"/>
  <c r="K760" i="1" s="1"/>
  <c r="L760" i="1" s="1"/>
  <c r="M760" i="1" s="1"/>
  <c r="N760" i="1" s="1"/>
  <c r="P754" i="1"/>
  <c r="C754" i="1"/>
  <c r="O754" i="1" s="1"/>
  <c r="P748" i="1"/>
  <c r="C748" i="1"/>
  <c r="O748" i="1" s="1"/>
  <c r="E746" i="1"/>
  <c r="P740" i="1"/>
  <c r="C740" i="1"/>
  <c r="O740" i="1" s="1"/>
  <c r="P734" i="1"/>
  <c r="C734" i="1"/>
  <c r="D734" i="1" s="1"/>
  <c r="E734" i="1" s="1"/>
  <c r="F734" i="1" s="1"/>
  <c r="G734" i="1" s="1"/>
  <c r="H734" i="1" s="1"/>
  <c r="I734" i="1" s="1"/>
  <c r="J734" i="1" s="1"/>
  <c r="K734" i="1" s="1"/>
  <c r="L734" i="1" s="1"/>
  <c r="M734" i="1" s="1"/>
  <c r="N734" i="1" s="1"/>
  <c r="E732" i="1"/>
  <c r="P721" i="1"/>
  <c r="C721" i="1"/>
  <c r="D721" i="1" s="1"/>
  <c r="E721" i="1" s="1"/>
  <c r="F721" i="1" s="1"/>
  <c r="G721" i="1" s="1"/>
  <c r="H721" i="1" s="1"/>
  <c r="I721" i="1" s="1"/>
  <c r="J721" i="1" s="1"/>
  <c r="K721" i="1" s="1"/>
  <c r="L721" i="1" s="1"/>
  <c r="M721" i="1" s="1"/>
  <c r="N721" i="1" s="1"/>
  <c r="E717" i="1"/>
  <c r="E716" i="1"/>
  <c r="E719" i="1" s="1"/>
  <c r="P712" i="1" s="1"/>
  <c r="C712" i="1"/>
  <c r="E708" i="1"/>
  <c r="E707" i="1"/>
  <c r="E710" i="1" s="1"/>
  <c r="P703" i="1"/>
  <c r="O703" i="1"/>
  <c r="C703" i="1"/>
  <c r="D703" i="1" s="1"/>
  <c r="E703" i="1" s="1"/>
  <c r="F703" i="1" s="1"/>
  <c r="G703" i="1" s="1"/>
  <c r="H703" i="1" s="1"/>
  <c r="I703" i="1" s="1"/>
  <c r="J703" i="1" s="1"/>
  <c r="K703" i="1" s="1"/>
  <c r="L703" i="1" s="1"/>
  <c r="M703" i="1" s="1"/>
  <c r="N703" i="1" s="1"/>
  <c r="E701" i="1"/>
  <c r="P690" i="1"/>
  <c r="C690" i="1"/>
  <c r="O690" i="1" s="1"/>
  <c r="E688" i="1"/>
  <c r="P678" i="1"/>
  <c r="C678" i="1"/>
  <c r="O678" i="1" s="1"/>
  <c r="E676" i="1"/>
  <c r="P650" i="1" s="1"/>
  <c r="C650" i="1"/>
  <c r="O650" i="1" s="1"/>
  <c r="E648" i="1"/>
  <c r="P637" i="1"/>
  <c r="C637" i="1"/>
  <c r="O637" i="1" s="1"/>
  <c r="I633" i="1"/>
  <c r="I635" i="1" s="1"/>
  <c r="P628" i="1" s="1"/>
  <c r="I632" i="1"/>
  <c r="C628" i="1"/>
  <c r="O628" i="1" s="1"/>
  <c r="B627" i="1"/>
  <c r="I625" i="1"/>
  <c r="P621" i="1"/>
  <c r="C621" i="1"/>
  <c r="O621" i="1" s="1"/>
  <c r="K616" i="1"/>
  <c r="G616" i="1"/>
  <c r="E616" i="1"/>
  <c r="K615" i="1"/>
  <c r="G615" i="1"/>
  <c r="E615" i="1"/>
  <c r="K614" i="1"/>
  <c r="G614" i="1"/>
  <c r="E614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C559" i="1"/>
  <c r="O559" i="1" s="1"/>
  <c r="K557" i="1"/>
  <c r="P553" i="1"/>
  <c r="C553" i="1"/>
  <c r="O553" i="1" s="1"/>
  <c r="K549" i="1"/>
  <c r="K548" i="1"/>
  <c r="K547" i="1"/>
  <c r="K546" i="1"/>
  <c r="K545" i="1"/>
  <c r="K544" i="1"/>
  <c r="K543" i="1"/>
  <c r="K542" i="1"/>
  <c r="K541" i="1"/>
  <c r="K540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C520" i="1"/>
  <c r="O520" i="1" s="1"/>
  <c r="B519" i="1"/>
  <c r="P512" i="1"/>
  <c r="O512" i="1"/>
  <c r="C512" i="1"/>
  <c r="D512" i="1" s="1"/>
  <c r="E512" i="1" s="1"/>
  <c r="F512" i="1" s="1"/>
  <c r="G512" i="1" s="1"/>
  <c r="H512" i="1" s="1"/>
  <c r="I512" i="1" s="1"/>
  <c r="J512" i="1" s="1"/>
  <c r="K512" i="1" s="1"/>
  <c r="L512" i="1" s="1"/>
  <c r="M512" i="1" s="1"/>
  <c r="N512" i="1" s="1"/>
  <c r="E510" i="1"/>
  <c r="P492" i="1"/>
  <c r="C492" i="1"/>
  <c r="E489" i="1"/>
  <c r="I483" i="1"/>
  <c r="I482" i="1"/>
  <c r="I481" i="1"/>
  <c r="I485" i="1" s="1"/>
  <c r="G489" i="1" s="1"/>
  <c r="I480" i="1"/>
  <c r="E476" i="1"/>
  <c r="E474" i="1"/>
  <c r="E473" i="1"/>
  <c r="E472" i="1"/>
  <c r="C468" i="1"/>
  <c r="O468" i="1" s="1"/>
  <c r="E466" i="1"/>
  <c r="P450" i="1"/>
  <c r="C450" i="1"/>
  <c r="O450" i="1" s="1"/>
  <c r="E445" i="1"/>
  <c r="E448" i="1" s="1"/>
  <c r="P443" i="1" s="1"/>
  <c r="C443" i="1"/>
  <c r="D443" i="1" s="1"/>
  <c r="E443" i="1" s="1"/>
  <c r="F443" i="1" s="1"/>
  <c r="G443" i="1" s="1"/>
  <c r="H443" i="1" s="1"/>
  <c r="I443" i="1" s="1"/>
  <c r="J443" i="1" s="1"/>
  <c r="K443" i="1" s="1"/>
  <c r="L443" i="1" s="1"/>
  <c r="M443" i="1" s="1"/>
  <c r="N443" i="1" s="1"/>
  <c r="E438" i="1"/>
  <c r="E441" i="1" s="1"/>
  <c r="P435" i="1" s="1"/>
  <c r="C435" i="1"/>
  <c r="O435" i="1" s="1"/>
  <c r="I431" i="1"/>
  <c r="I430" i="1"/>
  <c r="E430" i="1"/>
  <c r="I429" i="1"/>
  <c r="I428" i="1"/>
  <c r="I427" i="1"/>
  <c r="I426" i="1"/>
  <c r="I425" i="1"/>
  <c r="I424" i="1"/>
  <c r="E424" i="1"/>
  <c r="I423" i="1"/>
  <c r="E423" i="1"/>
  <c r="I422" i="1"/>
  <c r="I421" i="1"/>
  <c r="E420" i="1"/>
  <c r="I420" i="1" s="1"/>
  <c r="I419" i="1"/>
  <c r="I433" i="1" s="1"/>
  <c r="P414" i="1" s="1"/>
  <c r="C414" i="1"/>
  <c r="D414" i="1" s="1"/>
  <c r="E414" i="1" s="1"/>
  <c r="F414" i="1" s="1"/>
  <c r="G414" i="1" s="1"/>
  <c r="H414" i="1" s="1"/>
  <c r="I414" i="1" s="1"/>
  <c r="J414" i="1" s="1"/>
  <c r="K414" i="1" s="1"/>
  <c r="L414" i="1" s="1"/>
  <c r="M414" i="1" s="1"/>
  <c r="N414" i="1" s="1"/>
  <c r="E406" i="1"/>
  <c r="I406" i="1" s="1"/>
  <c r="E405" i="1"/>
  <c r="I405" i="1" s="1"/>
  <c r="E404" i="1"/>
  <c r="I404" i="1" s="1"/>
  <c r="I403" i="1"/>
  <c r="E403" i="1"/>
  <c r="I402" i="1"/>
  <c r="E402" i="1"/>
  <c r="E401" i="1"/>
  <c r="I401" i="1" s="1"/>
  <c r="E400" i="1"/>
  <c r="I400" i="1" s="1"/>
  <c r="I399" i="1"/>
  <c r="E399" i="1"/>
  <c r="E398" i="1"/>
  <c r="I398" i="1" s="1"/>
  <c r="I392" i="1"/>
  <c r="E392" i="1"/>
  <c r="I391" i="1"/>
  <c r="E391" i="1"/>
  <c r="I390" i="1"/>
  <c r="E390" i="1"/>
  <c r="I389" i="1"/>
  <c r="E389" i="1"/>
  <c r="E388" i="1"/>
  <c r="I388" i="1" s="1"/>
  <c r="E387" i="1"/>
  <c r="I387" i="1" s="1"/>
  <c r="I386" i="1"/>
  <c r="E386" i="1"/>
  <c r="E385" i="1"/>
  <c r="I385" i="1" s="1"/>
  <c r="I384" i="1"/>
  <c r="E384" i="1"/>
  <c r="C380" i="1"/>
  <c r="O380" i="1" s="1"/>
  <c r="E378" i="1"/>
  <c r="P360" i="1"/>
  <c r="C360" i="1"/>
  <c r="O360" i="1" s="1"/>
  <c r="B359" i="1"/>
  <c r="E357" i="1"/>
  <c r="P334" i="1" s="1"/>
  <c r="C334" i="1"/>
  <c r="D334" i="1" s="1"/>
  <c r="E334" i="1" s="1"/>
  <c r="F334" i="1" s="1"/>
  <c r="G334" i="1" s="1"/>
  <c r="H334" i="1" s="1"/>
  <c r="I334" i="1" s="1"/>
  <c r="J334" i="1" s="1"/>
  <c r="K334" i="1" s="1"/>
  <c r="L334" i="1" s="1"/>
  <c r="M334" i="1" s="1"/>
  <c r="N334" i="1" s="1"/>
  <c r="E332" i="1"/>
  <c r="P321" i="1"/>
  <c r="C321" i="1"/>
  <c r="D321" i="1" s="1"/>
  <c r="E321" i="1" s="1"/>
  <c r="F321" i="1" s="1"/>
  <c r="G321" i="1" s="1"/>
  <c r="H321" i="1" s="1"/>
  <c r="I321" i="1" s="1"/>
  <c r="J321" i="1" s="1"/>
  <c r="K321" i="1" s="1"/>
  <c r="L321" i="1" s="1"/>
  <c r="M321" i="1" s="1"/>
  <c r="N321" i="1" s="1"/>
  <c r="P316" i="1"/>
  <c r="C316" i="1"/>
  <c r="O316" i="1" s="1"/>
  <c r="F310" i="1"/>
  <c r="F309" i="1"/>
  <c r="F308" i="1"/>
  <c r="F307" i="1"/>
  <c r="H306" i="1"/>
  <c r="L306" i="1" s="1"/>
  <c r="F306" i="1"/>
  <c r="C304" i="1"/>
  <c r="O304" i="1" s="1"/>
  <c r="G302" i="1"/>
  <c r="E302" i="1"/>
  <c r="K302" i="1" s="1"/>
  <c r="P299" i="1" s="1"/>
  <c r="C299" i="1"/>
  <c r="D299" i="1" s="1"/>
  <c r="E299" i="1" s="1"/>
  <c r="F299" i="1" s="1"/>
  <c r="G299" i="1" s="1"/>
  <c r="H299" i="1" s="1"/>
  <c r="I299" i="1" s="1"/>
  <c r="J299" i="1" s="1"/>
  <c r="K299" i="1" s="1"/>
  <c r="L299" i="1" s="1"/>
  <c r="M299" i="1" s="1"/>
  <c r="N299" i="1" s="1"/>
  <c r="I297" i="1"/>
  <c r="P293" i="1" s="1"/>
  <c r="E297" i="1"/>
  <c r="C293" i="1"/>
  <c r="O293" i="1" s="1"/>
  <c r="E291" i="1"/>
  <c r="P273" i="1" s="1"/>
  <c r="C273" i="1"/>
  <c r="D273" i="1" s="1"/>
  <c r="E273" i="1" s="1"/>
  <c r="F273" i="1" s="1"/>
  <c r="G273" i="1" s="1"/>
  <c r="H273" i="1" s="1"/>
  <c r="I273" i="1" s="1"/>
  <c r="J273" i="1" s="1"/>
  <c r="K273" i="1" s="1"/>
  <c r="L273" i="1" s="1"/>
  <c r="M273" i="1" s="1"/>
  <c r="N273" i="1" s="1"/>
  <c r="E271" i="1"/>
  <c r="P252" i="1" s="1"/>
  <c r="C252" i="1"/>
  <c r="D252" i="1" s="1"/>
  <c r="E252" i="1" s="1"/>
  <c r="F252" i="1" s="1"/>
  <c r="G252" i="1" s="1"/>
  <c r="H252" i="1" s="1"/>
  <c r="I252" i="1" s="1"/>
  <c r="J252" i="1" s="1"/>
  <c r="K252" i="1" s="1"/>
  <c r="L252" i="1" s="1"/>
  <c r="M252" i="1" s="1"/>
  <c r="N252" i="1" s="1"/>
  <c r="E250" i="1"/>
  <c r="P239" i="1" s="1"/>
  <c r="C239" i="1"/>
  <c r="O239" i="1" s="1"/>
  <c r="I234" i="1"/>
  <c r="E233" i="1"/>
  <c r="I233" i="1" s="1"/>
  <c r="I232" i="1"/>
  <c r="I231" i="1"/>
  <c r="I230" i="1"/>
  <c r="I229" i="1"/>
  <c r="I228" i="1"/>
  <c r="I227" i="1"/>
  <c r="E227" i="1"/>
  <c r="E226" i="1"/>
  <c r="I226" i="1" s="1"/>
  <c r="I225" i="1"/>
  <c r="I224" i="1"/>
  <c r="E223" i="1"/>
  <c r="I223" i="1" s="1"/>
  <c r="I222" i="1"/>
  <c r="C218" i="1"/>
  <c r="O218" i="1" s="1"/>
  <c r="J215" i="1"/>
  <c r="P198" i="1" s="1"/>
  <c r="H309" i="1" s="1"/>
  <c r="L309" i="1" s="1"/>
  <c r="H215" i="1"/>
  <c r="E215" i="1"/>
  <c r="C198" i="1"/>
  <c r="I189" i="1"/>
  <c r="E189" i="1"/>
  <c r="E188" i="1"/>
  <c r="I188" i="1" s="1"/>
  <c r="I187" i="1"/>
  <c r="E187" i="1"/>
  <c r="E186" i="1"/>
  <c r="I186" i="1" s="1"/>
  <c r="E185" i="1"/>
  <c r="I185" i="1" s="1"/>
  <c r="E184" i="1"/>
  <c r="I184" i="1" s="1"/>
  <c r="E183" i="1"/>
  <c r="I183" i="1" s="1"/>
  <c r="E182" i="1"/>
  <c r="I182" i="1" s="1"/>
  <c r="I181" i="1"/>
  <c r="E181" i="1"/>
  <c r="E175" i="1"/>
  <c r="I175" i="1" s="1"/>
  <c r="E174" i="1"/>
  <c r="I174" i="1" s="1"/>
  <c r="E173" i="1"/>
  <c r="I173" i="1" s="1"/>
  <c r="E172" i="1"/>
  <c r="I172" i="1" s="1"/>
  <c r="E171" i="1"/>
  <c r="I171" i="1" s="1"/>
  <c r="E170" i="1"/>
  <c r="I170" i="1" s="1"/>
  <c r="I169" i="1"/>
  <c r="E169" i="1"/>
  <c r="I168" i="1"/>
  <c r="E168" i="1"/>
  <c r="I167" i="1"/>
  <c r="E167" i="1"/>
  <c r="C163" i="1"/>
  <c r="O163" i="1" s="1"/>
  <c r="E161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60" i="1" s="1"/>
  <c r="H307" i="1" s="1"/>
  <c r="L307" i="1" s="1"/>
  <c r="N135" i="1"/>
  <c r="P131" i="1"/>
  <c r="D131" i="1"/>
  <c r="E131" i="1" s="1"/>
  <c r="F131" i="1" s="1"/>
  <c r="G131" i="1" s="1"/>
  <c r="H131" i="1" s="1"/>
  <c r="I131" i="1" s="1"/>
  <c r="J131" i="1" s="1"/>
  <c r="K131" i="1" s="1"/>
  <c r="L131" i="1" s="1"/>
  <c r="M131" i="1" s="1"/>
  <c r="N131" i="1" s="1"/>
  <c r="C131" i="1"/>
  <c r="O131" i="1" s="1"/>
  <c r="E128" i="1"/>
  <c r="P108" i="1"/>
  <c r="C108" i="1"/>
  <c r="D108" i="1" s="1"/>
  <c r="E108" i="1" s="1"/>
  <c r="F108" i="1" s="1"/>
  <c r="G108" i="1" s="1"/>
  <c r="H108" i="1" s="1"/>
  <c r="I108" i="1" s="1"/>
  <c r="J108" i="1" s="1"/>
  <c r="K108" i="1" s="1"/>
  <c r="L108" i="1" s="1"/>
  <c r="M108" i="1" s="1"/>
  <c r="N108" i="1" s="1"/>
  <c r="I104" i="1"/>
  <c r="I103" i="1"/>
  <c r="I102" i="1"/>
  <c r="E101" i="1"/>
  <c r="E105" i="1" s="1"/>
  <c r="I100" i="1"/>
  <c r="I99" i="1"/>
  <c r="G98" i="1"/>
  <c r="I98" i="1" s="1"/>
  <c r="C94" i="1"/>
  <c r="O94" i="1" s="1"/>
  <c r="G91" i="1"/>
  <c r="E90" i="1"/>
  <c r="K88" i="1"/>
  <c r="K87" i="1"/>
  <c r="C83" i="1"/>
  <c r="B82" i="1"/>
  <c r="C76" i="1"/>
  <c r="O76" i="1" s="1"/>
  <c r="O72" i="1"/>
  <c r="C72" i="1"/>
  <c r="D72" i="1" s="1"/>
  <c r="E72" i="1" s="1"/>
  <c r="F72" i="1" s="1"/>
  <c r="G72" i="1" s="1"/>
  <c r="H72" i="1" s="1"/>
  <c r="I72" i="1" s="1"/>
  <c r="J72" i="1" s="1"/>
  <c r="K72" i="1" s="1"/>
  <c r="L72" i="1" s="1"/>
  <c r="M72" i="1" s="1"/>
  <c r="N72" i="1" s="1"/>
  <c r="E70" i="1"/>
  <c r="I74" i="1" s="1"/>
  <c r="P72" i="1" s="1"/>
  <c r="C67" i="1"/>
  <c r="D67" i="1" s="1"/>
  <c r="E67" i="1" s="1"/>
  <c r="F67" i="1" s="1"/>
  <c r="G67" i="1" s="1"/>
  <c r="H67" i="1" s="1"/>
  <c r="I67" i="1" s="1"/>
  <c r="J67" i="1" s="1"/>
  <c r="K67" i="1" s="1"/>
  <c r="L67" i="1" s="1"/>
  <c r="M67" i="1" s="1"/>
  <c r="N67" i="1" s="1"/>
  <c r="B66" i="1"/>
  <c r="E64" i="1"/>
  <c r="I64" i="1" s="1"/>
  <c r="P61" i="1" s="1"/>
  <c r="C61" i="1"/>
  <c r="O61" i="1" s="1"/>
  <c r="I59" i="1"/>
  <c r="P56" i="1" s="1"/>
  <c r="C56" i="1"/>
  <c r="D56" i="1" s="1"/>
  <c r="E56" i="1" s="1"/>
  <c r="F56" i="1" s="1"/>
  <c r="G56" i="1" s="1"/>
  <c r="H56" i="1" s="1"/>
  <c r="I56" i="1" s="1"/>
  <c r="J56" i="1" s="1"/>
  <c r="K56" i="1" s="1"/>
  <c r="L56" i="1" s="1"/>
  <c r="M56" i="1" s="1"/>
  <c r="N56" i="1" s="1"/>
  <c r="I54" i="1"/>
  <c r="P50" i="1"/>
  <c r="O50" i="1"/>
  <c r="D50" i="1"/>
  <c r="E50" i="1" s="1"/>
  <c r="F50" i="1" s="1"/>
  <c r="G50" i="1" s="1"/>
  <c r="H50" i="1" s="1"/>
  <c r="I50" i="1" s="1"/>
  <c r="J50" i="1" s="1"/>
  <c r="K50" i="1" s="1"/>
  <c r="L50" i="1" s="1"/>
  <c r="M50" i="1" s="1"/>
  <c r="N50" i="1" s="1"/>
  <c r="C50" i="1"/>
  <c r="I48" i="1"/>
  <c r="P44" i="1"/>
  <c r="C44" i="1"/>
  <c r="O44" i="1" s="1"/>
  <c r="B43" i="1"/>
  <c r="I41" i="1"/>
  <c r="C36" i="1"/>
  <c r="O36" i="1" s="1"/>
  <c r="I35" i="1"/>
  <c r="K33" i="1"/>
  <c r="P30" i="1" s="1"/>
  <c r="O30" i="1"/>
  <c r="D30" i="1"/>
  <c r="E30" i="1" s="1"/>
  <c r="F30" i="1" s="1"/>
  <c r="G30" i="1" s="1"/>
  <c r="H30" i="1" s="1"/>
  <c r="I30" i="1" s="1"/>
  <c r="J30" i="1" s="1"/>
  <c r="K30" i="1" s="1"/>
  <c r="L30" i="1" s="1"/>
  <c r="M30" i="1" s="1"/>
  <c r="N30" i="1" s="1"/>
  <c r="C30" i="1"/>
  <c r="I27" i="1"/>
  <c r="P22" i="1" s="1"/>
  <c r="C22" i="1"/>
  <c r="I20" i="1"/>
  <c r="P15" i="1"/>
  <c r="C15" i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R10" i="1"/>
  <c r="S10" i="1" s="1"/>
  <c r="T10" i="1" s="1"/>
  <c r="U10" i="1" s="1"/>
  <c r="V10" i="1" s="1"/>
  <c r="W10" i="1" s="1"/>
  <c r="X10" i="1" s="1"/>
  <c r="Y10" i="1" s="1"/>
  <c r="P10" i="1"/>
  <c r="C10" i="1"/>
  <c r="O10" i="1" s="1"/>
  <c r="B8" i="1"/>
  <c r="E5" i="1"/>
  <c r="E4" i="1"/>
  <c r="D304" i="1" l="1"/>
  <c r="E304" i="1" s="1"/>
  <c r="F304" i="1" s="1"/>
  <c r="G304" i="1" s="1"/>
  <c r="H304" i="1" s="1"/>
  <c r="I304" i="1" s="1"/>
  <c r="J304" i="1" s="1"/>
  <c r="K304" i="1" s="1"/>
  <c r="L304" i="1" s="1"/>
  <c r="M304" i="1" s="1"/>
  <c r="N304" i="1" s="1"/>
  <c r="D811" i="1"/>
  <c r="E811" i="1" s="1"/>
  <c r="F811" i="1" s="1"/>
  <c r="G811" i="1" s="1"/>
  <c r="H811" i="1" s="1"/>
  <c r="I811" i="1" s="1"/>
  <c r="J811" i="1" s="1"/>
  <c r="K811" i="1" s="1"/>
  <c r="L811" i="1" s="1"/>
  <c r="M811" i="1" s="1"/>
  <c r="N811" i="1" s="1"/>
  <c r="O1396" i="1"/>
  <c r="D76" i="1"/>
  <c r="E76" i="1" s="1"/>
  <c r="F76" i="1" s="1"/>
  <c r="G76" i="1" s="1"/>
  <c r="H76" i="1" s="1"/>
  <c r="I76" i="1" s="1"/>
  <c r="J76" i="1" s="1"/>
  <c r="K76" i="1" s="1"/>
  <c r="L76" i="1" s="1"/>
  <c r="M76" i="1" s="1"/>
  <c r="N76" i="1" s="1"/>
  <c r="D1338" i="1"/>
  <c r="E1338" i="1" s="1"/>
  <c r="F1338" i="1" s="1"/>
  <c r="G1338" i="1" s="1"/>
  <c r="H1338" i="1" s="1"/>
  <c r="I1338" i="1" s="1"/>
  <c r="J1338" i="1" s="1"/>
  <c r="K1338" i="1" s="1"/>
  <c r="L1338" i="1" s="1"/>
  <c r="M1338" i="1" s="1"/>
  <c r="N1338" i="1" s="1"/>
  <c r="D239" i="1"/>
  <c r="E239" i="1" s="1"/>
  <c r="F239" i="1" s="1"/>
  <c r="G239" i="1" s="1"/>
  <c r="H239" i="1" s="1"/>
  <c r="I239" i="1" s="1"/>
  <c r="J239" i="1" s="1"/>
  <c r="K239" i="1" s="1"/>
  <c r="L239" i="1" s="1"/>
  <c r="M239" i="1" s="1"/>
  <c r="N239" i="1" s="1"/>
  <c r="O835" i="1"/>
  <c r="O56" i="1"/>
  <c r="O721" i="1"/>
  <c r="O443" i="1"/>
  <c r="D316" i="1"/>
  <c r="E316" i="1" s="1"/>
  <c r="F316" i="1" s="1"/>
  <c r="G316" i="1" s="1"/>
  <c r="H316" i="1" s="1"/>
  <c r="I316" i="1" s="1"/>
  <c r="J316" i="1" s="1"/>
  <c r="K316" i="1" s="1"/>
  <c r="L316" i="1" s="1"/>
  <c r="M316" i="1" s="1"/>
  <c r="N316" i="1" s="1"/>
  <c r="O819" i="1"/>
  <c r="D218" i="1"/>
  <c r="E218" i="1" s="1"/>
  <c r="F218" i="1" s="1"/>
  <c r="G218" i="1" s="1"/>
  <c r="H218" i="1" s="1"/>
  <c r="I218" i="1" s="1"/>
  <c r="J218" i="1" s="1"/>
  <c r="K218" i="1" s="1"/>
  <c r="L218" i="1" s="1"/>
  <c r="M218" i="1" s="1"/>
  <c r="N218" i="1" s="1"/>
  <c r="O273" i="1"/>
  <c r="D1088" i="1"/>
  <c r="E1088" i="1" s="1"/>
  <c r="F1088" i="1" s="1"/>
  <c r="G1088" i="1" s="1"/>
  <c r="H1088" i="1" s="1"/>
  <c r="I1088" i="1" s="1"/>
  <c r="J1088" i="1" s="1"/>
  <c r="K1088" i="1" s="1"/>
  <c r="L1088" i="1" s="1"/>
  <c r="M1088" i="1" s="1"/>
  <c r="N1088" i="1" s="1"/>
  <c r="O321" i="1"/>
  <c r="D849" i="1"/>
  <c r="E849" i="1" s="1"/>
  <c r="F849" i="1" s="1"/>
  <c r="G849" i="1" s="1"/>
  <c r="H849" i="1" s="1"/>
  <c r="I849" i="1" s="1"/>
  <c r="J849" i="1" s="1"/>
  <c r="K849" i="1" s="1"/>
  <c r="L849" i="1" s="1"/>
  <c r="M849" i="1" s="1"/>
  <c r="N849" i="1" s="1"/>
  <c r="D889" i="1"/>
  <c r="E889" i="1" s="1"/>
  <c r="F889" i="1" s="1"/>
  <c r="G889" i="1" s="1"/>
  <c r="H889" i="1" s="1"/>
  <c r="I889" i="1" s="1"/>
  <c r="J889" i="1" s="1"/>
  <c r="K889" i="1" s="1"/>
  <c r="L889" i="1" s="1"/>
  <c r="M889" i="1" s="1"/>
  <c r="N889" i="1" s="1"/>
  <c r="O1303" i="1"/>
  <c r="O67" i="1"/>
  <c r="O334" i="1"/>
  <c r="O898" i="1"/>
  <c r="O1378" i="1"/>
  <c r="O108" i="1"/>
  <c r="D748" i="1"/>
  <c r="E748" i="1" s="1"/>
  <c r="F748" i="1" s="1"/>
  <c r="G748" i="1" s="1"/>
  <c r="H748" i="1" s="1"/>
  <c r="I748" i="1" s="1"/>
  <c r="J748" i="1" s="1"/>
  <c r="K748" i="1" s="1"/>
  <c r="L748" i="1" s="1"/>
  <c r="M748" i="1" s="1"/>
  <c r="N748" i="1" s="1"/>
  <c r="D799" i="1"/>
  <c r="E799" i="1" s="1"/>
  <c r="F799" i="1" s="1"/>
  <c r="G799" i="1" s="1"/>
  <c r="H799" i="1" s="1"/>
  <c r="I799" i="1" s="1"/>
  <c r="J799" i="1" s="1"/>
  <c r="K799" i="1" s="1"/>
  <c r="L799" i="1" s="1"/>
  <c r="M799" i="1" s="1"/>
  <c r="N799" i="1" s="1"/>
  <c r="D864" i="1"/>
  <c r="E864" i="1" s="1"/>
  <c r="F864" i="1" s="1"/>
  <c r="G864" i="1" s="1"/>
  <c r="H864" i="1" s="1"/>
  <c r="I864" i="1" s="1"/>
  <c r="J864" i="1" s="1"/>
  <c r="K864" i="1" s="1"/>
  <c r="L864" i="1" s="1"/>
  <c r="M864" i="1" s="1"/>
  <c r="N864" i="1" s="1"/>
  <c r="O299" i="1"/>
  <c r="O760" i="1"/>
  <c r="D435" i="1"/>
  <c r="E435" i="1" s="1"/>
  <c r="F435" i="1" s="1"/>
  <c r="G435" i="1" s="1"/>
  <c r="H435" i="1" s="1"/>
  <c r="I435" i="1" s="1"/>
  <c r="J435" i="1" s="1"/>
  <c r="K435" i="1" s="1"/>
  <c r="L435" i="1" s="1"/>
  <c r="M435" i="1" s="1"/>
  <c r="N435" i="1" s="1"/>
  <c r="O927" i="1"/>
  <c r="O414" i="1"/>
  <c r="D877" i="1"/>
  <c r="E877" i="1" s="1"/>
  <c r="F877" i="1" s="1"/>
  <c r="G877" i="1" s="1"/>
  <c r="H877" i="1" s="1"/>
  <c r="I877" i="1" s="1"/>
  <c r="J877" i="1" s="1"/>
  <c r="K877" i="1" s="1"/>
  <c r="L877" i="1" s="1"/>
  <c r="M877" i="1" s="1"/>
  <c r="N877" i="1" s="1"/>
  <c r="O1294" i="1"/>
  <c r="D61" i="1"/>
  <c r="E61" i="1" s="1"/>
  <c r="F61" i="1" s="1"/>
  <c r="G61" i="1" s="1"/>
  <c r="H61" i="1" s="1"/>
  <c r="I61" i="1" s="1"/>
  <c r="J61" i="1" s="1"/>
  <c r="K61" i="1" s="1"/>
  <c r="L61" i="1" s="1"/>
  <c r="M61" i="1" s="1"/>
  <c r="N61" i="1" s="1"/>
  <c r="D678" i="1"/>
  <c r="E678" i="1" s="1"/>
  <c r="F678" i="1" s="1"/>
  <c r="G678" i="1" s="1"/>
  <c r="H678" i="1" s="1"/>
  <c r="I678" i="1" s="1"/>
  <c r="J678" i="1" s="1"/>
  <c r="K678" i="1" s="1"/>
  <c r="L678" i="1" s="1"/>
  <c r="M678" i="1" s="1"/>
  <c r="N678" i="1" s="1"/>
  <c r="O781" i="1"/>
  <c r="O1359" i="1"/>
  <c r="D690" i="1"/>
  <c r="E690" i="1" s="1"/>
  <c r="F690" i="1" s="1"/>
  <c r="G690" i="1" s="1"/>
  <c r="H690" i="1" s="1"/>
  <c r="I690" i="1" s="1"/>
  <c r="J690" i="1" s="1"/>
  <c r="K690" i="1" s="1"/>
  <c r="L690" i="1" s="1"/>
  <c r="M690" i="1" s="1"/>
  <c r="N690" i="1" s="1"/>
  <c r="D740" i="1"/>
  <c r="E740" i="1" s="1"/>
  <c r="F740" i="1" s="1"/>
  <c r="G740" i="1" s="1"/>
  <c r="H740" i="1" s="1"/>
  <c r="I740" i="1" s="1"/>
  <c r="J740" i="1" s="1"/>
  <c r="K740" i="1" s="1"/>
  <c r="L740" i="1" s="1"/>
  <c r="M740" i="1" s="1"/>
  <c r="N740" i="1" s="1"/>
  <c r="D823" i="1"/>
  <c r="E823" i="1" s="1"/>
  <c r="F823" i="1" s="1"/>
  <c r="G823" i="1" s="1"/>
  <c r="H823" i="1" s="1"/>
  <c r="I823" i="1" s="1"/>
  <c r="J823" i="1" s="1"/>
  <c r="K823" i="1" s="1"/>
  <c r="L823" i="1" s="1"/>
  <c r="M823" i="1" s="1"/>
  <c r="N823" i="1" s="1"/>
  <c r="O1442" i="1"/>
  <c r="D794" i="1"/>
  <c r="E794" i="1" s="1"/>
  <c r="F794" i="1" s="1"/>
  <c r="G794" i="1" s="1"/>
  <c r="H794" i="1" s="1"/>
  <c r="I794" i="1" s="1"/>
  <c r="J794" i="1" s="1"/>
  <c r="K794" i="1" s="1"/>
  <c r="L794" i="1" s="1"/>
  <c r="M794" i="1" s="1"/>
  <c r="N794" i="1" s="1"/>
  <c r="O1101" i="1"/>
  <c r="D44" i="1"/>
  <c r="E44" i="1" s="1"/>
  <c r="F44" i="1" s="1"/>
  <c r="G44" i="1" s="1"/>
  <c r="H44" i="1" s="1"/>
  <c r="I44" i="1" s="1"/>
  <c r="J44" i="1" s="1"/>
  <c r="K44" i="1" s="1"/>
  <c r="L44" i="1" s="1"/>
  <c r="M44" i="1" s="1"/>
  <c r="N44" i="1" s="1"/>
  <c r="D360" i="1"/>
  <c r="E360" i="1" s="1"/>
  <c r="F360" i="1" s="1"/>
  <c r="G360" i="1" s="1"/>
  <c r="H360" i="1" s="1"/>
  <c r="I360" i="1" s="1"/>
  <c r="J360" i="1" s="1"/>
  <c r="K360" i="1" s="1"/>
  <c r="L360" i="1" s="1"/>
  <c r="M360" i="1" s="1"/>
  <c r="N360" i="1" s="1"/>
  <c r="L862" i="1"/>
  <c r="P860" i="1"/>
  <c r="F853" i="1"/>
  <c r="P849" i="1" s="1"/>
  <c r="L851" i="1"/>
  <c r="I236" i="1"/>
  <c r="P218" i="1" s="1"/>
  <c r="H310" i="1" s="1"/>
  <c r="L310" i="1" s="1"/>
  <c r="I408" i="1"/>
  <c r="G412" i="1" s="1"/>
  <c r="K551" i="1"/>
  <c r="P520" i="1" s="1"/>
  <c r="D1329" i="1"/>
  <c r="E1329" i="1" s="1"/>
  <c r="F1329" i="1" s="1"/>
  <c r="G1329" i="1" s="1"/>
  <c r="H1329" i="1" s="1"/>
  <c r="I1329" i="1" s="1"/>
  <c r="J1329" i="1" s="1"/>
  <c r="K1329" i="1" s="1"/>
  <c r="L1329" i="1" s="1"/>
  <c r="M1329" i="1" s="1"/>
  <c r="N1329" i="1" s="1"/>
  <c r="O1329" i="1"/>
  <c r="D1368" i="1"/>
  <c r="E1368" i="1" s="1"/>
  <c r="F1368" i="1" s="1"/>
  <c r="G1368" i="1" s="1"/>
  <c r="H1368" i="1" s="1"/>
  <c r="I1368" i="1" s="1"/>
  <c r="J1368" i="1" s="1"/>
  <c r="K1368" i="1" s="1"/>
  <c r="L1368" i="1" s="1"/>
  <c r="M1368" i="1" s="1"/>
  <c r="N1368" i="1" s="1"/>
  <c r="O1368" i="1"/>
  <c r="D10" i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252" i="1"/>
  <c r="D553" i="1"/>
  <c r="E553" i="1" s="1"/>
  <c r="F553" i="1" s="1"/>
  <c r="G553" i="1" s="1"/>
  <c r="H553" i="1" s="1"/>
  <c r="I553" i="1" s="1"/>
  <c r="J553" i="1" s="1"/>
  <c r="K553" i="1" s="1"/>
  <c r="L553" i="1" s="1"/>
  <c r="M553" i="1" s="1"/>
  <c r="N553" i="1" s="1"/>
  <c r="D774" i="1"/>
  <c r="E774" i="1" s="1"/>
  <c r="F774" i="1" s="1"/>
  <c r="G774" i="1" s="1"/>
  <c r="H774" i="1" s="1"/>
  <c r="I774" i="1" s="1"/>
  <c r="J774" i="1" s="1"/>
  <c r="K774" i="1" s="1"/>
  <c r="L774" i="1" s="1"/>
  <c r="M774" i="1" s="1"/>
  <c r="N774" i="1" s="1"/>
  <c r="O774" i="1"/>
  <c r="D872" i="1"/>
  <c r="E872" i="1" s="1"/>
  <c r="F872" i="1" s="1"/>
  <c r="G872" i="1" s="1"/>
  <c r="H872" i="1" s="1"/>
  <c r="I872" i="1" s="1"/>
  <c r="J872" i="1" s="1"/>
  <c r="K872" i="1" s="1"/>
  <c r="L872" i="1" s="1"/>
  <c r="M872" i="1" s="1"/>
  <c r="N872" i="1" s="1"/>
  <c r="O872" i="1"/>
  <c r="I101" i="1"/>
  <c r="I105" i="1" s="1"/>
  <c r="P94" i="1" s="1"/>
  <c r="D83" i="1"/>
  <c r="E83" i="1" s="1"/>
  <c r="F83" i="1" s="1"/>
  <c r="G83" i="1" s="1"/>
  <c r="H83" i="1" s="1"/>
  <c r="I83" i="1" s="1"/>
  <c r="J83" i="1" s="1"/>
  <c r="K83" i="1" s="1"/>
  <c r="L83" i="1" s="1"/>
  <c r="M83" i="1" s="1"/>
  <c r="N83" i="1" s="1"/>
  <c r="O83" i="1"/>
  <c r="D380" i="1"/>
  <c r="E380" i="1" s="1"/>
  <c r="F380" i="1" s="1"/>
  <c r="G380" i="1" s="1"/>
  <c r="H380" i="1" s="1"/>
  <c r="I380" i="1" s="1"/>
  <c r="J380" i="1" s="1"/>
  <c r="K380" i="1" s="1"/>
  <c r="L380" i="1" s="1"/>
  <c r="M380" i="1" s="1"/>
  <c r="N380" i="1" s="1"/>
  <c r="D1434" i="1"/>
  <c r="E1434" i="1" s="1"/>
  <c r="F1434" i="1" s="1"/>
  <c r="G1434" i="1" s="1"/>
  <c r="H1434" i="1" s="1"/>
  <c r="I1434" i="1" s="1"/>
  <c r="J1434" i="1" s="1"/>
  <c r="K1434" i="1" s="1"/>
  <c r="L1434" i="1" s="1"/>
  <c r="M1434" i="1" s="1"/>
  <c r="N1434" i="1" s="1"/>
  <c r="I489" i="1"/>
  <c r="P468" i="1" s="1"/>
  <c r="O855" i="1"/>
  <c r="D855" i="1"/>
  <c r="E855" i="1" s="1"/>
  <c r="F855" i="1" s="1"/>
  <c r="G855" i="1" s="1"/>
  <c r="H855" i="1" s="1"/>
  <c r="I855" i="1" s="1"/>
  <c r="J855" i="1" s="1"/>
  <c r="K855" i="1" s="1"/>
  <c r="L855" i="1" s="1"/>
  <c r="M855" i="1" s="1"/>
  <c r="N855" i="1" s="1"/>
  <c r="D1259" i="1"/>
  <c r="E1259" i="1" s="1"/>
  <c r="F1259" i="1" s="1"/>
  <c r="G1259" i="1" s="1"/>
  <c r="H1259" i="1" s="1"/>
  <c r="I1259" i="1" s="1"/>
  <c r="J1259" i="1" s="1"/>
  <c r="K1259" i="1" s="1"/>
  <c r="L1259" i="1" s="1"/>
  <c r="M1259" i="1" s="1"/>
  <c r="N1259" i="1" s="1"/>
  <c r="O1259" i="1"/>
  <c r="O860" i="1"/>
  <c r="D860" i="1"/>
  <c r="E860" i="1" s="1"/>
  <c r="F860" i="1" s="1"/>
  <c r="G860" i="1" s="1"/>
  <c r="H860" i="1" s="1"/>
  <c r="I860" i="1" s="1"/>
  <c r="J860" i="1" s="1"/>
  <c r="K860" i="1" s="1"/>
  <c r="L860" i="1" s="1"/>
  <c r="M860" i="1" s="1"/>
  <c r="N860" i="1" s="1"/>
  <c r="I177" i="1"/>
  <c r="E195" i="1" s="1"/>
  <c r="P907" i="1"/>
  <c r="E918" i="1"/>
  <c r="P916" i="1" s="1"/>
  <c r="O815" i="1"/>
  <c r="D815" i="1"/>
  <c r="E815" i="1" s="1"/>
  <c r="F815" i="1" s="1"/>
  <c r="G815" i="1" s="1"/>
  <c r="H815" i="1" s="1"/>
  <c r="I815" i="1" s="1"/>
  <c r="J815" i="1" s="1"/>
  <c r="K815" i="1" s="1"/>
  <c r="L815" i="1" s="1"/>
  <c r="M815" i="1" s="1"/>
  <c r="N815" i="1" s="1"/>
  <c r="O198" i="1"/>
  <c r="D198" i="1"/>
  <c r="E198" i="1" s="1"/>
  <c r="F198" i="1" s="1"/>
  <c r="G198" i="1" s="1"/>
  <c r="H198" i="1" s="1"/>
  <c r="I198" i="1" s="1"/>
  <c r="J198" i="1" s="1"/>
  <c r="K198" i="1" s="1"/>
  <c r="L198" i="1" s="1"/>
  <c r="M198" i="1" s="1"/>
  <c r="N198" i="1" s="1"/>
  <c r="D293" i="1"/>
  <c r="E293" i="1" s="1"/>
  <c r="F293" i="1" s="1"/>
  <c r="G293" i="1" s="1"/>
  <c r="H293" i="1" s="1"/>
  <c r="I293" i="1" s="1"/>
  <c r="J293" i="1" s="1"/>
  <c r="K293" i="1" s="1"/>
  <c r="L293" i="1" s="1"/>
  <c r="M293" i="1" s="1"/>
  <c r="N293" i="1" s="1"/>
  <c r="D883" i="1"/>
  <c r="E883" i="1" s="1"/>
  <c r="F883" i="1" s="1"/>
  <c r="G883" i="1" s="1"/>
  <c r="H883" i="1" s="1"/>
  <c r="I883" i="1" s="1"/>
  <c r="J883" i="1" s="1"/>
  <c r="K883" i="1" s="1"/>
  <c r="L883" i="1" s="1"/>
  <c r="M883" i="1" s="1"/>
  <c r="N883" i="1" s="1"/>
  <c r="O907" i="1"/>
  <c r="D907" i="1"/>
  <c r="E907" i="1" s="1"/>
  <c r="F907" i="1" s="1"/>
  <c r="G907" i="1" s="1"/>
  <c r="H907" i="1" s="1"/>
  <c r="I907" i="1" s="1"/>
  <c r="J907" i="1" s="1"/>
  <c r="K907" i="1" s="1"/>
  <c r="L907" i="1" s="1"/>
  <c r="M907" i="1" s="1"/>
  <c r="N907" i="1" s="1"/>
  <c r="D754" i="1"/>
  <c r="E754" i="1" s="1"/>
  <c r="F754" i="1" s="1"/>
  <c r="G754" i="1" s="1"/>
  <c r="H754" i="1" s="1"/>
  <c r="I754" i="1" s="1"/>
  <c r="J754" i="1" s="1"/>
  <c r="K754" i="1" s="1"/>
  <c r="L754" i="1" s="1"/>
  <c r="M754" i="1" s="1"/>
  <c r="N754" i="1" s="1"/>
  <c r="D637" i="1"/>
  <c r="E637" i="1" s="1"/>
  <c r="F637" i="1" s="1"/>
  <c r="G637" i="1" s="1"/>
  <c r="H637" i="1" s="1"/>
  <c r="I637" i="1" s="1"/>
  <c r="J637" i="1" s="1"/>
  <c r="K637" i="1" s="1"/>
  <c r="L637" i="1" s="1"/>
  <c r="M637" i="1" s="1"/>
  <c r="N637" i="1" s="1"/>
  <c r="O839" i="1"/>
  <c r="D839" i="1"/>
  <c r="E839" i="1" s="1"/>
  <c r="F839" i="1" s="1"/>
  <c r="G839" i="1" s="1"/>
  <c r="H839" i="1" s="1"/>
  <c r="I839" i="1" s="1"/>
  <c r="J839" i="1" s="1"/>
  <c r="K839" i="1" s="1"/>
  <c r="L839" i="1" s="1"/>
  <c r="M839" i="1" s="1"/>
  <c r="N839" i="1" s="1"/>
  <c r="D843" i="1"/>
  <c r="E843" i="1" s="1"/>
  <c r="F843" i="1" s="1"/>
  <c r="G843" i="1" s="1"/>
  <c r="H843" i="1" s="1"/>
  <c r="I843" i="1" s="1"/>
  <c r="J843" i="1" s="1"/>
  <c r="K843" i="1" s="1"/>
  <c r="L843" i="1" s="1"/>
  <c r="M843" i="1" s="1"/>
  <c r="N843" i="1" s="1"/>
  <c r="O843" i="1"/>
  <c r="D1196" i="1"/>
  <c r="E1196" i="1" s="1"/>
  <c r="F1196" i="1" s="1"/>
  <c r="G1196" i="1" s="1"/>
  <c r="H1196" i="1" s="1"/>
  <c r="I1196" i="1" s="1"/>
  <c r="J1196" i="1" s="1"/>
  <c r="K1196" i="1" s="1"/>
  <c r="L1196" i="1" s="1"/>
  <c r="M1196" i="1" s="1"/>
  <c r="N1196" i="1" s="1"/>
  <c r="O1196" i="1"/>
  <c r="O15" i="1"/>
  <c r="F859" i="1"/>
  <c r="P855" i="1" s="1"/>
  <c r="L857" i="1"/>
  <c r="L845" i="1"/>
  <c r="M984" i="1"/>
  <c r="E1076" i="1" s="1"/>
  <c r="I1076" i="1" s="1"/>
  <c r="P927" i="1" s="1"/>
  <c r="O734" i="1"/>
  <c r="O1250" i="1"/>
  <c r="D450" i="1"/>
  <c r="E450" i="1" s="1"/>
  <c r="F450" i="1" s="1"/>
  <c r="G450" i="1" s="1"/>
  <c r="H450" i="1" s="1"/>
  <c r="I450" i="1" s="1"/>
  <c r="J450" i="1" s="1"/>
  <c r="K450" i="1" s="1"/>
  <c r="L450" i="1" s="1"/>
  <c r="M450" i="1" s="1"/>
  <c r="N450" i="1" s="1"/>
  <c r="O22" i="1"/>
  <c r="D22" i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712" i="1"/>
  <c r="D712" i="1"/>
  <c r="E712" i="1" s="1"/>
  <c r="F712" i="1" s="1"/>
  <c r="G712" i="1" s="1"/>
  <c r="H712" i="1" s="1"/>
  <c r="I712" i="1" s="1"/>
  <c r="J712" i="1" s="1"/>
  <c r="K712" i="1" s="1"/>
  <c r="L712" i="1" s="1"/>
  <c r="M712" i="1" s="1"/>
  <c r="N712" i="1" s="1"/>
  <c r="F841" i="1"/>
  <c r="P839" i="1" s="1"/>
  <c r="I70" i="1"/>
  <c r="P67" i="1" s="1"/>
  <c r="I1336" i="1"/>
  <c r="P1329" i="1" s="1"/>
  <c r="D163" i="1"/>
  <c r="E163" i="1" s="1"/>
  <c r="F163" i="1" s="1"/>
  <c r="G163" i="1" s="1"/>
  <c r="H163" i="1" s="1"/>
  <c r="I163" i="1" s="1"/>
  <c r="J163" i="1" s="1"/>
  <c r="K163" i="1" s="1"/>
  <c r="L163" i="1" s="1"/>
  <c r="M163" i="1" s="1"/>
  <c r="N163" i="1" s="1"/>
  <c r="D492" i="1"/>
  <c r="E492" i="1" s="1"/>
  <c r="F492" i="1" s="1"/>
  <c r="G492" i="1" s="1"/>
  <c r="H492" i="1" s="1"/>
  <c r="I492" i="1" s="1"/>
  <c r="J492" i="1" s="1"/>
  <c r="K492" i="1" s="1"/>
  <c r="L492" i="1" s="1"/>
  <c r="M492" i="1" s="1"/>
  <c r="N492" i="1" s="1"/>
  <c r="O492" i="1"/>
  <c r="D520" i="1"/>
  <c r="E520" i="1" s="1"/>
  <c r="F520" i="1" s="1"/>
  <c r="G520" i="1" s="1"/>
  <c r="H520" i="1" s="1"/>
  <c r="I520" i="1" s="1"/>
  <c r="J520" i="1" s="1"/>
  <c r="K520" i="1" s="1"/>
  <c r="L520" i="1" s="1"/>
  <c r="M520" i="1" s="1"/>
  <c r="N520" i="1" s="1"/>
  <c r="D628" i="1"/>
  <c r="E628" i="1" s="1"/>
  <c r="F628" i="1" s="1"/>
  <c r="G628" i="1" s="1"/>
  <c r="H628" i="1" s="1"/>
  <c r="I628" i="1" s="1"/>
  <c r="J628" i="1" s="1"/>
  <c r="K628" i="1" s="1"/>
  <c r="L628" i="1" s="1"/>
  <c r="M628" i="1" s="1"/>
  <c r="N628" i="1" s="1"/>
  <c r="K1086" i="1"/>
  <c r="P1078" i="1" s="1"/>
  <c r="D1283" i="1"/>
  <c r="E1283" i="1" s="1"/>
  <c r="F1283" i="1" s="1"/>
  <c r="G1283" i="1" s="1"/>
  <c r="H1283" i="1" s="1"/>
  <c r="I1283" i="1" s="1"/>
  <c r="J1283" i="1" s="1"/>
  <c r="K1283" i="1" s="1"/>
  <c r="L1283" i="1" s="1"/>
  <c r="M1283" i="1" s="1"/>
  <c r="N1283" i="1" s="1"/>
  <c r="O1283" i="1"/>
  <c r="O1405" i="1"/>
  <c r="D468" i="1"/>
  <c r="E468" i="1" s="1"/>
  <c r="F468" i="1" s="1"/>
  <c r="G468" i="1" s="1"/>
  <c r="H468" i="1" s="1"/>
  <c r="I468" i="1" s="1"/>
  <c r="J468" i="1" s="1"/>
  <c r="K468" i="1" s="1"/>
  <c r="L468" i="1" s="1"/>
  <c r="M468" i="1" s="1"/>
  <c r="N468" i="1" s="1"/>
  <c r="K92" i="1"/>
  <c r="P83" i="1" s="1"/>
  <c r="O1316" i="1"/>
  <c r="D1316" i="1"/>
  <c r="E1316" i="1" s="1"/>
  <c r="F1316" i="1" s="1"/>
  <c r="G1316" i="1" s="1"/>
  <c r="H1316" i="1" s="1"/>
  <c r="I1316" i="1" s="1"/>
  <c r="J1316" i="1" s="1"/>
  <c r="K1316" i="1" s="1"/>
  <c r="L1316" i="1" s="1"/>
  <c r="M1316" i="1" s="1"/>
  <c r="N1316" i="1" s="1"/>
  <c r="I394" i="1"/>
  <c r="E412" i="1" s="1"/>
  <c r="I412" i="1" s="1"/>
  <c r="P380" i="1" s="1"/>
  <c r="K618" i="1"/>
  <c r="P559" i="1" s="1"/>
  <c r="I191" i="1"/>
  <c r="G195" i="1" s="1"/>
  <c r="D827" i="1"/>
  <c r="E827" i="1" s="1"/>
  <c r="F827" i="1" s="1"/>
  <c r="G827" i="1" s="1"/>
  <c r="H827" i="1" s="1"/>
  <c r="I827" i="1" s="1"/>
  <c r="J827" i="1" s="1"/>
  <c r="K827" i="1" s="1"/>
  <c r="L827" i="1" s="1"/>
  <c r="M827" i="1" s="1"/>
  <c r="N827" i="1" s="1"/>
  <c r="P898" i="1"/>
  <c r="E924" i="1"/>
  <c r="P922" i="1" s="1"/>
  <c r="O1216" i="1"/>
  <c r="D1216" i="1"/>
  <c r="E1216" i="1" s="1"/>
  <c r="F1216" i="1" s="1"/>
  <c r="G1216" i="1" s="1"/>
  <c r="H1216" i="1" s="1"/>
  <c r="I1216" i="1" s="1"/>
  <c r="J1216" i="1" s="1"/>
  <c r="K1216" i="1" s="1"/>
  <c r="L1216" i="1" s="1"/>
  <c r="M1216" i="1" s="1"/>
  <c r="N1216" i="1" s="1"/>
  <c r="O1353" i="1"/>
  <c r="D1388" i="1"/>
  <c r="E1388" i="1" s="1"/>
  <c r="F1388" i="1" s="1"/>
  <c r="G1388" i="1" s="1"/>
  <c r="H1388" i="1" s="1"/>
  <c r="I1388" i="1" s="1"/>
  <c r="J1388" i="1" s="1"/>
  <c r="K1388" i="1" s="1"/>
  <c r="L1388" i="1" s="1"/>
  <c r="M1388" i="1" s="1"/>
  <c r="N1388" i="1" s="1"/>
  <c r="D1078" i="1"/>
  <c r="E1078" i="1" s="1"/>
  <c r="F1078" i="1" s="1"/>
  <c r="G1078" i="1" s="1"/>
  <c r="H1078" i="1" s="1"/>
  <c r="I1078" i="1" s="1"/>
  <c r="J1078" i="1" s="1"/>
  <c r="K1078" i="1" s="1"/>
  <c r="L1078" i="1" s="1"/>
  <c r="M1078" i="1" s="1"/>
  <c r="N1078" i="1" s="1"/>
  <c r="O1414" i="1"/>
  <c r="O1344" i="1"/>
  <c r="D36" i="1"/>
  <c r="E36" i="1" s="1"/>
  <c r="F36" i="1" s="1"/>
  <c r="G36" i="1" s="1"/>
  <c r="H36" i="1" s="1"/>
  <c r="I36" i="1" s="1"/>
  <c r="J36" i="1" s="1"/>
  <c r="K36" i="1" s="1"/>
  <c r="L36" i="1" s="1"/>
  <c r="M36" i="1" s="1"/>
  <c r="N36" i="1" s="1"/>
  <c r="D94" i="1"/>
  <c r="E94" i="1" s="1"/>
  <c r="F94" i="1" s="1"/>
  <c r="G94" i="1" s="1"/>
  <c r="H94" i="1" s="1"/>
  <c r="I94" i="1" s="1"/>
  <c r="J94" i="1" s="1"/>
  <c r="K94" i="1" s="1"/>
  <c r="L94" i="1" s="1"/>
  <c r="M94" i="1" s="1"/>
  <c r="N94" i="1" s="1"/>
  <c r="D559" i="1"/>
  <c r="E559" i="1" s="1"/>
  <c r="F559" i="1" s="1"/>
  <c r="G559" i="1" s="1"/>
  <c r="H559" i="1" s="1"/>
  <c r="I559" i="1" s="1"/>
  <c r="J559" i="1" s="1"/>
  <c r="K559" i="1" s="1"/>
  <c r="L559" i="1" s="1"/>
  <c r="M559" i="1" s="1"/>
  <c r="N559" i="1" s="1"/>
  <c r="D621" i="1"/>
  <c r="E621" i="1" s="1"/>
  <c r="F621" i="1" s="1"/>
  <c r="G621" i="1" s="1"/>
  <c r="H621" i="1" s="1"/>
  <c r="I621" i="1" s="1"/>
  <c r="J621" i="1" s="1"/>
  <c r="K621" i="1" s="1"/>
  <c r="L621" i="1" s="1"/>
  <c r="M621" i="1" s="1"/>
  <c r="N621" i="1" s="1"/>
  <c r="D650" i="1"/>
  <c r="E650" i="1" s="1"/>
  <c r="F650" i="1" s="1"/>
  <c r="G650" i="1" s="1"/>
  <c r="H650" i="1" s="1"/>
  <c r="I650" i="1" s="1"/>
  <c r="J650" i="1" s="1"/>
  <c r="K650" i="1" s="1"/>
  <c r="L650" i="1" s="1"/>
  <c r="M650" i="1" s="1"/>
  <c r="N650" i="1" s="1"/>
  <c r="D1424" i="1"/>
  <c r="E1424" i="1" s="1"/>
  <c r="F1424" i="1" s="1"/>
  <c r="G1424" i="1" s="1"/>
  <c r="H1424" i="1" s="1"/>
  <c r="I1424" i="1" s="1"/>
  <c r="J1424" i="1" s="1"/>
  <c r="K1424" i="1" s="1"/>
  <c r="L1424" i="1" s="1"/>
  <c r="M1424" i="1" s="1"/>
  <c r="N1424" i="1" s="1"/>
  <c r="R855" i="1" l="1"/>
  <c r="F866" i="1"/>
  <c r="P864" i="1" s="1"/>
  <c r="I195" i="1"/>
  <c r="P163" i="1" s="1"/>
  <c r="H308" i="1" s="1"/>
  <c r="L308" i="1" s="1"/>
  <c r="L311" i="1" s="1"/>
  <c r="L313" i="1" s="1"/>
  <c r="P304" i="1" l="1"/>
  <c r="L314" i="1"/>
  <c r="H79" i="1"/>
  <c r="L79" i="1" s="1"/>
  <c r="P76" i="1" s="1"/>
  <c r="E1481" i="1" l="1"/>
  <c r="H1481" i="1" s="1"/>
  <c r="J1481" i="1" l="1"/>
  <c r="M1481" i="1" s="1"/>
</calcChain>
</file>

<file path=xl/sharedStrings.xml><?xml version="1.0" encoding="utf-8"?>
<sst xmlns="http://schemas.openxmlformats.org/spreadsheetml/2006/main" count="4003" uniqueCount="403">
  <si>
    <t>Governo do Estado do Rio de Janeiro
Secretaria de Estado de Infraestrutura e Obras Públicas</t>
  </si>
  <si>
    <t>PREFEITURA MUNICIPAL DE RIO DAS FLÔRES</t>
  </si>
  <si>
    <t>NATUREZA:</t>
  </si>
  <si>
    <t>LOCALIZAÇÃO:</t>
  </si>
  <si>
    <t>MEMÓRIA DE CÁLCULO</t>
  </si>
  <si>
    <t>Item</t>
  </si>
  <si>
    <t>Código</t>
  </si>
  <si>
    <t>Descrição</t>
  </si>
  <si>
    <t>Und</t>
  </si>
  <si>
    <t>Total</t>
  </si>
  <si>
    <t>1.1</t>
  </si>
  <si>
    <t xml:space="preserve">QUANTIDADE </t>
  </si>
  <si>
    <t>=</t>
  </si>
  <si>
    <t>und</t>
  </si>
  <si>
    <t>1.2</t>
  </si>
  <si>
    <t>SUBSOLO</t>
  </si>
  <si>
    <t>m2</t>
  </si>
  <si>
    <t>1º pav</t>
  </si>
  <si>
    <t>1.3</t>
  </si>
  <si>
    <t>1.4</t>
  </si>
  <si>
    <t>1.5</t>
  </si>
  <si>
    <t>2.1</t>
  </si>
  <si>
    <t>COMPRIMENTO</t>
  </si>
  <si>
    <t>ALTURA</t>
  </si>
  <si>
    <t>x</t>
  </si>
  <si>
    <t>m²</t>
  </si>
  <si>
    <t>2.2</t>
  </si>
  <si>
    <t>LARGURA</t>
  </si>
  <si>
    <t>2.3</t>
  </si>
  <si>
    <t>QTD</t>
  </si>
  <si>
    <t>MESES</t>
  </si>
  <si>
    <t>WC FISCALIZAÇÃO E FUNC.</t>
  </si>
  <si>
    <t>unxmes</t>
  </si>
  <si>
    <t>2.4</t>
  </si>
  <si>
    <t>FECHAMENTO FRENTE</t>
  </si>
  <si>
    <t>3.1</t>
  </si>
  <si>
    <t>CONSIDERANDO RAIO DE 15KM</t>
  </si>
  <si>
    <t>m2xkm</t>
  </si>
  <si>
    <t>3.2</t>
  </si>
  <si>
    <t>QTD. ANDAIME ALUGADO</t>
  </si>
  <si>
    <t>3.3</t>
  </si>
  <si>
    <t>Mat. Demolido</t>
  </si>
  <si>
    <t>Caçamba</t>
  </si>
  <si>
    <t>4.1</t>
  </si>
  <si>
    <t>MÊS</t>
  </si>
  <si>
    <t>FRENTE</t>
  </si>
  <si>
    <t>mxmes</t>
  </si>
  <si>
    <t>LATERAL FISIOTERAPIA</t>
  </si>
  <si>
    <t>TOTAL</t>
  </si>
  <si>
    <t>4.2</t>
  </si>
  <si>
    <t>LARETAL FISIOTERAPIA</t>
  </si>
  <si>
    <t>LATERAL RODOVIARIA</t>
  </si>
  <si>
    <t>FUNDOS</t>
  </si>
  <si>
    <t>ÁREA INT 1º PAV</t>
  </si>
  <si>
    <t>ÁREA INT 2º PAV</t>
  </si>
  <si>
    <t>ÁREA EXT. FUNDOS</t>
  </si>
  <si>
    <t>4.3</t>
  </si>
  <si>
    <t>ÁREA</t>
  </si>
  <si>
    <t>SALA DE RECEPÇÕES</t>
  </si>
  <si>
    <t>SALA 02</t>
  </si>
  <si>
    <t>HALL 02</t>
  </si>
  <si>
    <t>SALA DE MUSICAS</t>
  </si>
  <si>
    <t>DEPÓSITO 02</t>
  </si>
  <si>
    <t>CIRCULAÇÃO 03</t>
  </si>
  <si>
    <t>MUSEU</t>
  </si>
  <si>
    <t>ADM DO MUSEU</t>
  </si>
  <si>
    <t>MUSEU REGIONAL DE ARTESACRA</t>
  </si>
  <si>
    <t>PNE 02</t>
  </si>
  <si>
    <t>BANHEIRO FEM</t>
  </si>
  <si>
    <t>BANHEIRO MASC</t>
  </si>
  <si>
    <t>ARQUIVO</t>
  </si>
  <si>
    <t>COPA</t>
  </si>
  <si>
    <t>DEPÓSITO 03</t>
  </si>
  <si>
    <t>4.4</t>
  </si>
  <si>
    <t>JANELAS</t>
  </si>
  <si>
    <t>QUANTIDADE</t>
  </si>
  <si>
    <t>SECRETARIA DE CULTURA (J1)</t>
  </si>
  <si>
    <t>unid.</t>
  </si>
  <si>
    <t>ADM. SEC CULTURA (J1)</t>
  </si>
  <si>
    <t>SALA 01 (J1)</t>
  </si>
  <si>
    <t>CAFÉ (J2)</t>
  </si>
  <si>
    <t>COZINHA (J1)</t>
  </si>
  <si>
    <t>MEMORIAL SANTOS DUMMONT (J2)</t>
  </si>
  <si>
    <t>HALL 01 (J1)</t>
  </si>
  <si>
    <t>COMUNICAÇÃO SOCIAL (J1)</t>
  </si>
  <si>
    <t>DEPÓSITO 01 (J1)</t>
  </si>
  <si>
    <t>SALA DE RECEPÇÕES (J1)</t>
  </si>
  <si>
    <t>BANHEIRO MASC 01 (J1)</t>
  </si>
  <si>
    <t>HALL 02 (J2)</t>
  </si>
  <si>
    <t>CIRCULAÇÃO 03 (J2)</t>
  </si>
  <si>
    <t>SALA DE MUSICAS (J2)</t>
  </si>
  <si>
    <t>SALA DE MUSICAS (J4)</t>
  </si>
  <si>
    <t>MUSEU (J2)</t>
  </si>
  <si>
    <t>MUSEU (P7)</t>
  </si>
  <si>
    <t>ADM DO MUSEU (J2)</t>
  </si>
  <si>
    <t>MUSEU REGIONAL DE ARTESACRA (J2)</t>
  </si>
  <si>
    <t>MUSEU REGIONAL DE ARTESACRA (P7)</t>
  </si>
  <si>
    <t>PNE 02 (J2)</t>
  </si>
  <si>
    <t>BANHEIRO FEM 02 (J2)</t>
  </si>
  <si>
    <t>BANHEIRO MASC 02 (J2)</t>
  </si>
  <si>
    <t>ARQUIVO (J2)</t>
  </si>
  <si>
    <t>ARQUIVO (J4)</t>
  </si>
  <si>
    <t>4.5</t>
  </si>
  <si>
    <t>PERIMETRO</t>
  </si>
  <si>
    <t>COZINHA</t>
  </si>
  <si>
    <t>PNE01</t>
  </si>
  <si>
    <t>BANHEIRO FEM 01</t>
  </si>
  <si>
    <t>BANHEIRO MASC 01</t>
  </si>
  <si>
    <t>PNE02</t>
  </si>
  <si>
    <t>BANHEIRO FEM 02</t>
  </si>
  <si>
    <t>BANHEIRO MASC 02</t>
  </si>
  <si>
    <t>DESCONTO</t>
  </si>
  <si>
    <t>COZINHA (P5)</t>
  </si>
  <si>
    <t>PNE 01 (P3)</t>
  </si>
  <si>
    <t>BANHEIRO FEM 01 (P3)</t>
  </si>
  <si>
    <t>BANHEIRO MASC 01 (P3)</t>
  </si>
  <si>
    <t>PNE 02 (P3)</t>
  </si>
  <si>
    <t>BANHEIRO FEM 02 (P3)</t>
  </si>
  <si>
    <t>BANHEIRO MASC 02 (P3)</t>
  </si>
  <si>
    <t>COPA (P9)</t>
  </si>
  <si>
    <t>DEPÓSITO 03 (P9)</t>
  </si>
  <si>
    <t>-</t>
  </si>
  <si>
    <t>4.6</t>
  </si>
  <si>
    <t>PNE 01</t>
  </si>
  <si>
    <t>CAFÉ</t>
  </si>
  <si>
    <t>ATELIE DE PINTURAS</t>
  </si>
  <si>
    <t>m²Xkm</t>
  </si>
  <si>
    <t>4.7</t>
  </si>
  <si>
    <t>FACHADA PREDIO</t>
  </si>
  <si>
    <t xml:space="preserve">ADM SEC </t>
  </si>
  <si>
    <t>CIRCULAÇÃO 02</t>
  </si>
  <si>
    <t>CIRCULAÇÃO 02 (MURETA)</t>
  </si>
  <si>
    <t>FACHADA COPA/DEPOSITO 03</t>
  </si>
  <si>
    <t>ATELIÊ DE PINTURAS</t>
  </si>
  <si>
    <t>ÁREA EXTERNA (ESCADA)</t>
  </si>
  <si>
    <t>4.8</t>
  </si>
  <si>
    <t>4.9</t>
  </si>
  <si>
    <t>SECRETARIA DE CULTURA</t>
  </si>
  <si>
    <t>ADM. SEC CULTURA</t>
  </si>
  <si>
    <t>SALA 01</t>
  </si>
  <si>
    <t>MEMORIAL SANTOS DUMMONT</t>
  </si>
  <si>
    <t>HALL 01</t>
  </si>
  <si>
    <t>COMUNICAÇÃO SOCIAL</t>
  </si>
  <si>
    <t>SACADA HALL 02</t>
  </si>
  <si>
    <t>ESCADA</t>
  </si>
  <si>
    <t>4.10</t>
  </si>
  <si>
    <t>4.11</t>
  </si>
  <si>
    <t>PERÍMETRO</t>
  </si>
  <si>
    <t>PASSARELA PARA O ANDAIME</t>
  </si>
  <si>
    <t>4.12</t>
  </si>
  <si>
    <t>MOVIMENTAÇÃO ENTRE NÍVEIS</t>
  </si>
  <si>
    <t>X</t>
  </si>
  <si>
    <t>4.13</t>
  </si>
  <si>
    <t>ITEM</t>
  </si>
  <si>
    <t>PARCIAL</t>
  </si>
  <si>
    <t>EMPOLAMENTO</t>
  </si>
  <si>
    <t>CAÇAMBAS</t>
  </si>
  <si>
    <t>4.14</t>
  </si>
  <si>
    <t>m</t>
  </si>
  <si>
    <t>4.15</t>
  </si>
  <si>
    <t>4.16</t>
  </si>
  <si>
    <t>DEPÓSITO 01</t>
  </si>
  <si>
    <t>5.1</t>
  </si>
  <si>
    <t>5.2</t>
  </si>
  <si>
    <t>5.3</t>
  </si>
  <si>
    <t>ADM SEC TURISMO</t>
  </si>
  <si>
    <t>5.4</t>
  </si>
  <si>
    <t>MURETA  (CIRCULAÇÃO 02)</t>
  </si>
  <si>
    <t>MURETA  (CIRCULAÇÃO 03)</t>
  </si>
  <si>
    <t>5.5</t>
  </si>
  <si>
    <t>CANALETA</t>
  </si>
  <si>
    <t>RAMPA</t>
  </si>
  <si>
    <t>5.6</t>
  </si>
  <si>
    <t>5.7</t>
  </si>
  <si>
    <t>SALA 02 (G5)</t>
  </si>
  <si>
    <t>CAFÉ (P2)</t>
  </si>
  <si>
    <t>ATELIE DE PINTURAS (P9)</t>
  </si>
  <si>
    <t>5.8</t>
  </si>
  <si>
    <t>5.9</t>
  </si>
  <si>
    <t>Escadas</t>
  </si>
  <si>
    <t>6.1</t>
  </si>
  <si>
    <t>6.2</t>
  </si>
  <si>
    <t>DEPÓSITO 02 (J3)</t>
  </si>
  <si>
    <t>6.3</t>
  </si>
  <si>
    <t>SECRETARIA DE CULTURA (P2)</t>
  </si>
  <si>
    <t>ADM. SEC CULTURA (P3)</t>
  </si>
  <si>
    <t>SALA 01 (P2)</t>
  </si>
  <si>
    <t>MEMORIAL SANTOS DUMMONT (P2)</t>
  </si>
  <si>
    <t>HALL 01 (P3)</t>
  </si>
  <si>
    <t>COMUNICAÇÃO SOCIAL (P3)</t>
  </si>
  <si>
    <t>DEPÓSITO 01 (P3)</t>
  </si>
  <si>
    <t>SALA DE RECEPÇÕES (P3)</t>
  </si>
  <si>
    <t>HALL 02 (P3)</t>
  </si>
  <si>
    <t>SALA DE MUSICAS (P3)</t>
  </si>
  <si>
    <t>DEPÓSITO 02 (P8)</t>
  </si>
  <si>
    <t>MUSEU (P3)</t>
  </si>
  <si>
    <t>ADM DO MUSEU (P2)</t>
  </si>
  <si>
    <t>MUSEU REGIONAL DE ARTESACRA (P3)</t>
  </si>
  <si>
    <t>ARQUIVO (P3)</t>
  </si>
  <si>
    <t>π</t>
  </si>
  <si>
    <t>RAIO²/2</t>
  </si>
  <si>
    <t>BANDEIRA DAS PORTAS</t>
  </si>
  <si>
    <t>HALL 01 (P1)</t>
  </si>
  <si>
    <t>DEPÓSITO 01 (P10)</t>
  </si>
  <si>
    <t>CIRCULAÇÃO 02 (P10)</t>
  </si>
  <si>
    <t>6.4</t>
  </si>
  <si>
    <t>ACESSO RAMPA (PT1)</t>
  </si>
  <si>
    <t>7.1</t>
  </si>
  <si>
    <t>DESCIDA</t>
  </si>
  <si>
    <t>7.2</t>
  </si>
  <si>
    <t>QDL 1</t>
  </si>
  <si>
    <t>CIRCULAÇÃO 1</t>
  </si>
  <si>
    <t>CIRCULAÇÃO 2</t>
  </si>
  <si>
    <t>DEPOSITO 1</t>
  </si>
  <si>
    <t>QDL 2</t>
  </si>
  <si>
    <t>CIRCULAÇÃO 3</t>
  </si>
  <si>
    <t>7.3</t>
  </si>
  <si>
    <t>SALA 1</t>
  </si>
  <si>
    <t>SECRETARIA CULTURA</t>
  </si>
  <si>
    <t>ADM.CULTURA</t>
  </si>
  <si>
    <t>HALL 1</t>
  </si>
  <si>
    <t>PNE 1</t>
  </si>
  <si>
    <t>B. FEM. 1</t>
  </si>
  <si>
    <t>B. MASC. 1</t>
  </si>
  <si>
    <t>DEPOSITO 3</t>
  </si>
  <si>
    <t>ATELIE</t>
  </si>
  <si>
    <t>ADM. MUSEU</t>
  </si>
  <si>
    <t>DEPOSITP 2</t>
  </si>
  <si>
    <t>PNE 2</t>
  </si>
  <si>
    <t>B.FEM. 2</t>
  </si>
  <si>
    <t>B.MASC. 2</t>
  </si>
  <si>
    <t>7.4</t>
  </si>
  <si>
    <t>MEMORIAL</t>
  </si>
  <si>
    <t>SALA MUSICA</t>
  </si>
  <si>
    <t>7.5</t>
  </si>
  <si>
    <t>SALA RECEPÇÃO</t>
  </si>
  <si>
    <t>7.6</t>
  </si>
  <si>
    <t>7.7</t>
  </si>
  <si>
    <t>7.8</t>
  </si>
  <si>
    <t>CIRCUITO 21</t>
  </si>
  <si>
    <t>CIRCUITO 22</t>
  </si>
  <si>
    <t>CIRCUITO 14</t>
  </si>
  <si>
    <t>CIRCUITO 15</t>
  </si>
  <si>
    <t>7.9</t>
  </si>
  <si>
    <t>7.10</t>
  </si>
  <si>
    <t>ENTRADA DE ENERGIA</t>
  </si>
  <si>
    <t>7.11</t>
  </si>
  <si>
    <t>7.12</t>
  </si>
  <si>
    <t>7.13</t>
  </si>
  <si>
    <t>ADM CULTURA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</si>
  <si>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</si>
  <si>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</si>
  <si>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</si>
  <si>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</si>
  <si>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</si>
  <si>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</si>
  <si>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</si>
  <si>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</si>
  <si>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</si>
  <si>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</si>
  <si>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</si>
  <si>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</si>
  <si>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</si>
  <si>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CONSIDERANDO 5M POR APARELHO</t>
  </si>
  <si>
    <t>7.27</t>
  </si>
  <si>
    <t>SPLIT 9000</t>
  </si>
  <si>
    <t>un</t>
  </si>
  <si>
    <t>W/H</t>
  </si>
  <si>
    <t>KWH</t>
  </si>
  <si>
    <t>SPLIT 12000</t>
  </si>
  <si>
    <t>7.28</t>
  </si>
  <si>
    <t>SPLIT 18000</t>
  </si>
  <si>
    <t>SPLIT 24000</t>
  </si>
  <si>
    <t>7.29</t>
  </si>
  <si>
    <t>SPLIT 30000</t>
  </si>
  <si>
    <t>SPLIT 36000</t>
  </si>
  <si>
    <t>7.30</t>
  </si>
  <si>
    <t>SPLIT 48000</t>
  </si>
  <si>
    <t>7.31</t>
  </si>
  <si>
    <t>SPLITS</t>
  </si>
  <si>
    <t>7.32</t>
  </si>
  <si>
    <t>PADRÃO DE ENTRADA</t>
  </si>
  <si>
    <t>7.33</t>
  </si>
  <si>
    <t>ATENDIMENTO PADRÃO ENTRADA</t>
  </si>
  <si>
    <t>(3 FASES + NEUTRO + TERRA - CONSIDERANDO 20m de distância + 6m descida do poste))</t>
  </si>
  <si>
    <t>8.1</t>
  </si>
  <si>
    <t>COBERTURA</t>
  </si>
  <si>
    <t>8.2</t>
  </si>
  <si>
    <t>8.3</t>
  </si>
  <si>
    <t xml:space="preserve">INCLINAÇÃO </t>
  </si>
  <si>
    <t>FATOR DE CORREÇÃO</t>
  </si>
  <si>
    <t>8.4</t>
  </si>
  <si>
    <t>8.5</t>
  </si>
  <si>
    <t>8.6</t>
  </si>
  <si>
    <t>16.001.0055-0</t>
  </si>
  <si>
    <t>SUBSTITUIÇÃO DE 40% DO MADEIRAMENTO</t>
  </si>
  <si>
    <t>8.7</t>
  </si>
  <si>
    <t>16.002.0005-0</t>
  </si>
  <si>
    <t xml:space="preserve">SUBSTITUIÇÃO DE 40% DAS TELHAS </t>
  </si>
  <si>
    <t>9.1</t>
  </si>
  <si>
    <t>LADOS</t>
  </si>
  <si>
    <t>EXTERNO FRENTE</t>
  </si>
  <si>
    <t>FUNDOS E EXTERIOR</t>
  </si>
  <si>
    <t>FACHADA ESQUERDA</t>
  </si>
  <si>
    <t>FACHADA DIREITA</t>
  </si>
  <si>
    <t>MURO FUNDOS</t>
  </si>
  <si>
    <t>CIRCULAÇÃO 01</t>
  </si>
  <si>
    <t>DEPÓSITO 01 (ATRÁS DO ELEVADOR)</t>
  </si>
  <si>
    <t>CIRCULAÇÃO 03 (MURETA)</t>
  </si>
  <si>
    <t>DIVISÓRIA EM CONCRETO LISO</t>
  </si>
  <si>
    <t>TETO</t>
  </si>
  <si>
    <t xml:space="preserve">DESCONTO </t>
  </si>
  <si>
    <t>PORTAS</t>
  </si>
  <si>
    <t>CIRCULAÇÃO 01 (P1)</t>
  </si>
  <si>
    <t>CAFÉ (P20</t>
  </si>
  <si>
    <t>COZINHA (P2)</t>
  </si>
  <si>
    <t>DEPÓSITO 01 (P6)</t>
  </si>
  <si>
    <t>BANHEIRO FEM 01 (P4)</t>
  </si>
  <si>
    <t>BANHEIRO MASC 01 (P4)</t>
  </si>
  <si>
    <t>MUSEU (P2)</t>
  </si>
  <si>
    <t>BANHEIRO FEM 02 (P4)</t>
  </si>
  <si>
    <t>BANHEIRO MASC 02 (P4)</t>
  </si>
  <si>
    <t>GRADES</t>
  </si>
  <si>
    <t>SALA 02 (G4)</t>
  </si>
  <si>
    <t>BANHEIRO FEM 01 (G4)</t>
  </si>
  <si>
    <t>PNE 01 (G4)</t>
  </si>
  <si>
    <t>COPA (G2)</t>
  </si>
  <si>
    <t>COPA (G1)</t>
  </si>
  <si>
    <t>DEPÓSITO 03 (G2)</t>
  </si>
  <si>
    <t>ATELIE DE PINTURAS (G3)</t>
  </si>
  <si>
    <t>PORTÃO</t>
  </si>
  <si>
    <t>MURO FUNDOS (PT2)</t>
  </si>
  <si>
    <t>9.2</t>
  </si>
  <si>
    <t>ALTURA/LARGURA</t>
  </si>
  <si>
    <t>MURO (LATERAL FISIOTERAPIA)</t>
  </si>
  <si>
    <t>ESCADA EXTERNA</t>
  </si>
  <si>
    <t>9.3</t>
  </si>
  <si>
    <t>DETALHE FACHADA</t>
  </si>
  <si>
    <t>AMBIENTE ATRÁS DA CAIXA DE ELEVADOR</t>
  </si>
  <si>
    <t>9.4</t>
  </si>
  <si>
    <t>FORRO</t>
  </si>
  <si>
    <t>9.5</t>
  </si>
  <si>
    <t>ACESSO FUNDOS (PT2)</t>
  </si>
  <si>
    <t>ACESSO CANALETA  (PT3)</t>
  </si>
  <si>
    <t>ESCADA EXTERNA (CORRIMÃO)</t>
  </si>
  <si>
    <t>RAMPA EXTERNA (CORRIMÃO)</t>
  </si>
  <si>
    <t>10.1</t>
  </si>
  <si>
    <t>QUANTIDADE CONFORME QUADRO RESUMO</t>
  </si>
  <si>
    <t>COMUNICAÇÃO</t>
  </si>
  <si>
    <t>SECRET. CULTURA</t>
  </si>
  <si>
    <t>ADM. CULTURA</t>
  </si>
  <si>
    <t>B. MASC.</t>
  </si>
  <si>
    <t>B.FEM.</t>
  </si>
  <si>
    <t>SALA 2</t>
  </si>
  <si>
    <t>SALA RECEPÇÕES</t>
  </si>
  <si>
    <t>ADM.MUSEU</t>
  </si>
  <si>
    <t>DEPOSITO 2</t>
  </si>
  <si>
    <t>SALA MUSICO</t>
  </si>
  <si>
    <t>B. MASC.2</t>
  </si>
  <si>
    <t>B.FEM.2</t>
  </si>
  <si>
    <t>10.2</t>
  </si>
  <si>
    <t>HALL 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</si>
  <si>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</si>
  <si>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</si>
  <si>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</si>
  <si>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</si>
  <si>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</si>
  <si>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</si>
  <si>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</si>
  <si>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</si>
  <si>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</si>
  <si>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</si>
  <si>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</si>
  <si>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1° PAVIMENTO</t>
  </si>
  <si>
    <t>2° PAVIMENTO</t>
  </si>
  <si>
    <t>10.14</t>
  </si>
  <si>
    <t>10.15</t>
  </si>
  <si>
    <t>APARELHO</t>
  </si>
  <si>
    <t>ADM CULT</t>
  </si>
  <si>
    <t>10.16</t>
  </si>
  <si>
    <t>COM SOCIAL</t>
  </si>
  <si>
    <t>ADM MUSEU</t>
  </si>
  <si>
    <t>10.17</t>
  </si>
  <si>
    <t>10.18</t>
  </si>
  <si>
    <t>ATELIER</t>
  </si>
  <si>
    <t>SEC CULT</t>
  </si>
  <si>
    <t>10.19</t>
  </si>
  <si>
    <t>RECEPÇÕES</t>
  </si>
  <si>
    <t>10.20</t>
  </si>
  <si>
    <t>10.21</t>
  </si>
  <si>
    <t>MUSEU REG</t>
  </si>
  <si>
    <t>ENCARGOS COMPLEMENTARES</t>
  </si>
  <si>
    <t>11.1</t>
  </si>
  <si>
    <t>COMPOSIÇÃO 1</t>
  </si>
  <si>
    <t>UN</t>
  </si>
  <si>
    <t>12.1</t>
  </si>
  <si>
    <t>COMPOSIÇÃO 2</t>
  </si>
  <si>
    <t>ADMINISTRAÇÃO LOCAL DA OBRA - CONFORME MEMÓRIA DE CÁLCULO DOS QUANTITATIVOS</t>
  </si>
  <si>
    <t>SEM DESONERAÇÃO</t>
  </si>
  <si>
    <t>COM DESONERAÇÃO</t>
  </si>
  <si>
    <t>VALOR TOTAL DA OBRA SEM ADM (1)</t>
  </si>
  <si>
    <t>FATOR (2)</t>
  </si>
  <si>
    <t>PREÇO UNITÁRIO ADM (1)*(2) 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</si>
</sst>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\ &quot;km &quot;"/>
    <numFmt numFmtId="165" formatCode="#,##0.00\ &quot;m²&quot;"/>
    <numFmt numFmtId="166" formatCode="#,##0.00\ &quot;m³&quot;"/>
    <numFmt numFmtId="167" formatCode="0\ &quot;unid. &quot;"/>
    <numFmt numFmtId="168" formatCode="#,##0.00\ &quot;m&quot;"/>
    <numFmt numFmtId="169" formatCode="0\ &quot;mov &quot;"/>
    <numFmt numFmtId="170" formatCode="0.0000000"/>
    <numFmt numFmtId="171" formatCode="0.000"/>
    <numFmt numFmtId="172" formatCode="0\ &quot;Btu´s &quot;"/>
    <numFmt numFmtId="173" formatCode="0\ &quot; horas &quot;"/>
    <numFmt numFmtId="174" formatCode="0\ &quot;dias &quot;"/>
    <numFmt numFmtId="175" formatCode="0\ &quot;meses &quot;"/>
    <numFmt numFmtId="176" formatCode="0\ &quot;Total horas &quot;"/>
    <numFmt numFmtId="177" formatCode="\ 0.00\ &quot;meses&quot;"/>
    <numFmt numFmtId="178" formatCode="&quot;R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</font>
    <font>
      <sz val="11"/>
      <color theme="1"/>
      <name val="Calibri"/>
      <family val="2"/>
    </font>
    <font>
      <b/>
      <sz val="15"/>
      <color theme="1"/>
      <name val="Calibri"/>
      <family val="2"/>
    </font>
    <font>
      <b/>
      <sz val="18"/>
      <color theme="1"/>
      <name val="Calibri"/>
      <family val="2"/>
    </font>
    <font>
      <sz val="15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wrapText="1"/>
    </xf>
    <xf numFmtId="0" fontId="7" fillId="0" borderId="9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2" fontId="1" fillId="4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4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" fillId="0" borderId="0" xfId="4" applyNumberForma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166" fontId="1" fillId="0" borderId="0" xfId="4" applyNumberFormat="1" applyAlignment="1">
      <alignment horizontal="center"/>
    </xf>
    <xf numFmtId="167" fontId="1" fillId="0" borderId="0" xfId="4" applyNumberForma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2" fontId="5" fillId="0" borderId="7" xfId="0" applyNumberFormat="1" applyFon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2" fontId="10" fillId="0" borderId="0" xfId="0" applyNumberFormat="1" applyFont="1" applyAlignment="1">
      <alignment horizontal="center" wrapText="1"/>
    </xf>
    <xf numFmtId="2" fontId="13" fillId="0" borderId="0" xfId="0" applyNumberFormat="1" applyFont="1" applyAlignment="1">
      <alignment horizontal="center" wrapText="1"/>
    </xf>
    <xf numFmtId="0" fontId="14" fillId="0" borderId="4" xfId="0" applyFont="1" applyBorder="1" applyAlignment="1">
      <alignment wrapText="1"/>
    </xf>
    <xf numFmtId="168" fontId="12" fillId="0" borderId="0" xfId="0" applyNumberFormat="1" applyFont="1" applyAlignment="1">
      <alignment horizontal="center" vertical="center"/>
    </xf>
    <xf numFmtId="168" fontId="1" fillId="0" borderId="0" xfId="4" applyNumberFormat="1" applyAlignment="1">
      <alignment horizontal="center" vertical="center"/>
    </xf>
    <xf numFmtId="169" fontId="1" fillId="0" borderId="0" xfId="4" applyNumberFormat="1" applyAlignment="1">
      <alignment horizontal="center"/>
    </xf>
    <xf numFmtId="0" fontId="1" fillId="0" borderId="0" xfId="4" applyAlignment="1">
      <alignment horizontal="center"/>
    </xf>
    <xf numFmtId="165" fontId="1" fillId="0" borderId="0" xfId="4" applyNumberFormat="1" applyAlignment="1">
      <alignment horizontal="center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wrapText="1"/>
    </xf>
    <xf numFmtId="0" fontId="14" fillId="0" borderId="0" xfId="0" applyFont="1"/>
    <xf numFmtId="0" fontId="14" fillId="0" borderId="0" xfId="0" applyFont="1" applyAlignment="1">
      <alignment wrapText="1"/>
    </xf>
    <xf numFmtId="170" fontId="1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2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wrapText="1"/>
    </xf>
    <xf numFmtId="0" fontId="5" fillId="0" borderId="0" xfId="0" applyFont="1"/>
    <xf numFmtId="171" fontId="5" fillId="0" borderId="0" xfId="0" applyNumberFormat="1" applyFont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43" fontId="10" fillId="0" borderId="0" xfId="1" applyFont="1" applyBorder="1" applyAlignment="1">
      <alignment horizontal="left" vertical="center" wrapText="1"/>
    </xf>
    <xf numFmtId="43" fontId="10" fillId="0" borderId="0" xfId="1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0" borderId="5" xfId="0" applyFont="1" applyBorder="1" applyAlignment="1">
      <alignment wrapText="1"/>
    </xf>
    <xf numFmtId="1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top"/>
    </xf>
    <xf numFmtId="172" fontId="5" fillId="0" borderId="0" xfId="0" applyNumberFormat="1" applyFont="1" applyAlignment="1">
      <alignment horizontal="center" vertical="center" wrapText="1"/>
    </xf>
    <xf numFmtId="0" fontId="1" fillId="5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left" vertical="center" wrapText="1"/>
    </xf>
    <xf numFmtId="2" fontId="1" fillId="5" borderId="0" xfId="0" applyNumberFormat="1" applyFont="1" applyFill="1" applyAlignment="1">
      <alignment horizontal="center" vertical="center" wrapText="1"/>
    </xf>
    <xf numFmtId="2" fontId="0" fillId="5" borderId="0" xfId="0" applyNumberForma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vertical="center" wrapText="1"/>
    </xf>
    <xf numFmtId="2" fontId="11" fillId="5" borderId="0" xfId="0" applyNumberFormat="1" applyFont="1" applyFill="1" applyAlignment="1">
      <alignment vertical="center" wrapText="1"/>
    </xf>
    <xf numFmtId="0" fontId="1" fillId="5" borderId="4" xfId="0" applyFont="1" applyFill="1" applyBorder="1" applyAlignment="1">
      <alignment horizontal="left" vertical="center" wrapText="1"/>
    </xf>
    <xf numFmtId="2" fontId="0" fillId="5" borderId="5" xfId="0" applyNumberFormat="1" applyFill="1" applyBorder="1" applyAlignment="1">
      <alignment horizontal="center" vertical="center" wrapText="1"/>
    </xf>
    <xf numFmtId="0" fontId="1" fillId="5" borderId="0" xfId="5" applyFill="1" applyAlignment="1">
      <alignment horizontal="center" vertical="center"/>
    </xf>
    <xf numFmtId="0" fontId="12" fillId="5" borderId="0" xfId="0" applyFont="1" applyFill="1" applyAlignment="1">
      <alignment horizontal="center"/>
    </xf>
    <xf numFmtId="173" fontId="12" fillId="5" borderId="0" xfId="0" applyNumberFormat="1" applyFont="1" applyFill="1" applyAlignment="1">
      <alignment horizontal="center"/>
    </xf>
    <xf numFmtId="174" fontId="12" fillId="5" borderId="0" xfId="0" applyNumberFormat="1" applyFont="1" applyFill="1" applyAlignment="1">
      <alignment horizontal="center"/>
    </xf>
    <xf numFmtId="175" fontId="12" fillId="5" borderId="0" xfId="0" applyNumberFormat="1" applyFont="1" applyFill="1" applyAlignment="1">
      <alignment horizontal="center"/>
    </xf>
    <xf numFmtId="176" fontId="12" fillId="5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center"/>
    </xf>
    <xf numFmtId="177" fontId="17" fillId="5" borderId="0" xfId="0" applyNumberFormat="1" applyFont="1" applyFill="1" applyAlignment="1">
      <alignment horizontal="center"/>
    </xf>
    <xf numFmtId="2" fontId="5" fillId="5" borderId="0" xfId="0" applyNumberFormat="1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0" fillId="5" borderId="0" xfId="0" applyFill="1" applyAlignment="1">
      <alignment wrapText="1"/>
    </xf>
    <xf numFmtId="0" fontId="1" fillId="5" borderId="0" xfId="0" applyFont="1" applyFill="1" applyAlignment="1">
      <alignment vertical="center"/>
    </xf>
    <xf numFmtId="178" fontId="18" fillId="5" borderId="12" xfId="0" applyNumberFormat="1" applyFont="1" applyFill="1" applyBorder="1" applyAlignment="1">
      <alignment horizontal="center" vertical="center" wrapText="1"/>
    </xf>
    <xf numFmtId="44" fontId="12" fillId="5" borderId="0" xfId="0" applyNumberFormat="1" applyFont="1" applyFill="1"/>
    <xf numFmtId="9" fontId="12" fillId="5" borderId="0" xfId="0" applyNumberFormat="1" applyFont="1" applyFill="1" applyAlignment="1">
      <alignment horizontal="center"/>
    </xf>
    <xf numFmtId="10" fontId="18" fillId="5" borderId="12" xfId="3" applyNumberFormat="1" applyFont="1" applyFill="1" applyBorder="1" applyAlignment="1">
      <alignment horizontal="center" vertical="center" wrapText="1"/>
    </xf>
    <xf numFmtId="178" fontId="18" fillId="0" borderId="12" xfId="0" applyNumberFormat="1" applyFont="1" applyBorder="1" applyAlignment="1">
      <alignment horizontal="center" vertical="center" wrapText="1"/>
    </xf>
    <xf numFmtId="10" fontId="18" fillId="5" borderId="12" xfId="3" applyNumberFormat="1" applyFont="1" applyFill="1" applyBorder="1" applyAlignment="1">
      <alignment vertical="center" wrapText="1"/>
    </xf>
    <xf numFmtId="0" fontId="12" fillId="5" borderId="0" xfId="0" applyFont="1" applyFill="1"/>
    <xf numFmtId="0" fontId="1" fillId="5" borderId="0" xfId="0" applyFont="1" applyFill="1" applyAlignment="1">
      <alignment horizontal="center"/>
    </xf>
    <xf numFmtId="0" fontId="1" fillId="5" borderId="0" xfId="0" applyFont="1" applyFill="1"/>
    <xf numFmtId="44" fontId="12" fillId="5" borderId="0" xfId="2" applyFont="1" applyFill="1" applyBorder="1" applyAlignment="1"/>
    <xf numFmtId="0" fontId="18" fillId="5" borderId="9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9" xfId="6" applyFont="1" applyFill="1" applyBorder="1" applyAlignment="1">
      <alignment horizontal="center" vertical="center" wrapText="1"/>
    </xf>
    <xf numFmtId="0" fontId="18" fillId="5" borderId="11" xfId="6" applyFont="1" applyFill="1" applyBorder="1" applyAlignment="1">
      <alignment horizontal="center" vertical="center" wrapText="1"/>
    </xf>
    <xf numFmtId="178" fontId="18" fillId="5" borderId="9" xfId="0" applyNumberFormat="1" applyFont="1" applyFill="1" applyBorder="1" applyAlignment="1">
      <alignment horizontal="center" vertical="center" wrapText="1"/>
    </xf>
    <xf numFmtId="178" fontId="18" fillId="5" borderId="11" xfId="0" applyNumberFormat="1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left" vertical="center" wrapText="1"/>
    </xf>
    <xf numFmtId="0" fontId="10" fillId="2" borderId="4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12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</cellXfs>
  <cellStyles count="7">
    <cellStyle name="Moeda" xfId="2" builtinId="4"/>
    <cellStyle name="Normal" xfId="0" builtinId="0"/>
    <cellStyle name="Normal 11" xfId="4" xr:uid="{441B2AE8-3B7B-4F88-A878-5983AD2C97B1}"/>
    <cellStyle name="Normal 13" xfId="5" xr:uid="{7A0888C8-AA6A-47B8-B572-9F2A6A29E86E}"/>
    <cellStyle name="Normal 2 2 2" xfId="6" xr:uid="{F8741444-E9CA-4A7A-B5D3-5A4A357A935A}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0</xdr:row>
      <xdr:rowOff>95250</xdr:rowOff>
    </xdr:from>
    <xdr:to>
      <xdr:col>2</xdr:col>
      <xdr:colOff>1990725</xdr:colOff>
      <xdr:row>2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076A18C-B9AC-47B6-A1A4-56696F144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B"/>
            </a:clrFrom>
            <a:clrTo>
              <a:srgbClr val="FFFF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95250"/>
          <a:ext cx="18002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9525</xdr:colOff>
      <xdr:row>0</xdr:row>
      <xdr:rowOff>161925</xdr:rowOff>
    </xdr:from>
    <xdr:to>
      <xdr:col>13</xdr:col>
      <xdr:colOff>1524000</xdr:colOff>
      <xdr:row>3</xdr:row>
      <xdr:rowOff>514350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F1C7BE8-6F75-4D94-8294-27DC7818B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3150" y="161925"/>
          <a:ext cx="15144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352425</xdr:colOff>
      <xdr:row>1459</xdr:row>
      <xdr:rowOff>95250</xdr:rowOff>
    </xdr:from>
    <xdr:to>
      <xdr:col>21</xdr:col>
      <xdr:colOff>419100</xdr:colOff>
      <xdr:row>1468</xdr:row>
      <xdr:rowOff>314325</xdr:rowOff>
    </xdr:to>
    <xdr:pic>
      <xdr:nvPicPr>
        <xdr:cNvPr id="4" name="Imagem 4">
          <a:extLst>
            <a:ext uri="{FF2B5EF4-FFF2-40B4-BE49-F238E27FC236}">
              <a16:creationId xmlns:a16="http://schemas.microsoft.com/office/drawing/2014/main" id="{6ABB7681-C7A4-4B8B-BE51-79FAEBFA5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313534425"/>
          <a:ext cx="10839450" cy="509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TOR/Desktop/Or&#231;amento%20i0%2006.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4-COOADE\.PGPC%20-%20GOVERNO%20PRESENTE\RIO%20DAS%20FLORES\SEI-460001-001630-2023%20-%20ANTIGO%201407-2022\DOCS%20-%20I0%2006-24\Or&#231;ament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I"/>
      <sheetName val="Planilha1"/>
      <sheetName val="RESUMO"/>
      <sheetName val="ORÇ_ANALITICO"/>
      <sheetName val="ITENS DE MOBILIZAÇÃO"/>
      <sheetName val="MEMORIA"/>
      <sheetName val="ENCARGOS"/>
      <sheetName val="M.O.D_Alim_Transp"/>
      <sheetName val="CRONOGRAMA FISICO-FINANCEIRO"/>
      <sheetName val="ABC GRAFICO"/>
      <sheetName val="APOIO ABC"/>
      <sheetName val="TEXTOS"/>
      <sheetName val="I0 06.25"/>
      <sheetName val="ELEM0625"/>
      <sheetName val="APOIO ALIM E TRANSP."/>
      <sheetName val="ABC"/>
      <sheetName val="EMOP 04-23"/>
      <sheetName val="SINAPI_MAT 05-22(SEM-DES)"/>
      <sheetName val="SINAPI_MAT 05-22(COM-DES)"/>
      <sheetName val="SINAPI_SINT 04-24(SEM-DES)"/>
      <sheetName val="SINAPI_SINT 04-23(COM-DES)"/>
    </sheetNames>
    <sheetDataSet>
      <sheetData sheetId="0"/>
      <sheetData sheetId="1"/>
      <sheetData sheetId="2"/>
      <sheetData sheetId="3">
        <row r="3">
          <cell r="H3" t="str">
            <v xml:space="preserve">  PREFEITURA MUNICIPAL DE RIO DAS FLÔRES</v>
          </cell>
        </row>
        <row r="4">
          <cell r="C4" t="str">
            <v>REFORMA DA CASA DE CULTURA (ANTIGO FÓRUM)</v>
          </cell>
          <cell r="H4" t="str">
            <v>MÊS/ANO REFERÊNCIA:</v>
          </cell>
          <cell r="J4">
            <v>45809</v>
          </cell>
        </row>
        <row r="5">
          <cell r="H5" t="str">
            <v>BASES:</v>
          </cell>
          <cell r="J5" t="str">
            <v>EMOP/SINAPI</v>
          </cell>
        </row>
        <row r="6">
          <cell r="C6" t="str">
            <v>RUA DR. LEONI RAMOS, N°11 CENTRO 1º DISTRITO – RIO DAS FLÔRES, RJ</v>
          </cell>
          <cell r="H6" t="str">
            <v>VALOR DA OBRA C/ BDI:</v>
          </cell>
          <cell r="J6">
            <v>1765135.76</v>
          </cell>
        </row>
        <row r="7">
          <cell r="H7" t="str">
            <v>PRAZO PARA EXECUÇÃO:</v>
          </cell>
          <cell r="J7" t="str">
            <v>8 MESES</v>
          </cell>
        </row>
        <row r="8">
          <cell r="E8" t="str">
            <v>DESCRIÇÃO</v>
          </cell>
          <cell r="F8" t="str">
            <v>UND</v>
          </cell>
          <cell r="G8" t="str">
            <v>QTD</v>
          </cell>
          <cell r="H8" t="str">
            <v>PREÇOS SEM DESONERAÇÃO</v>
          </cell>
          <cell r="J8" t="str">
            <v>PREÇOS COM DESONERAÇÃO</v>
          </cell>
        </row>
        <row r="9">
          <cell r="C9" t="str">
            <v>COM DESONERAÇÃO</v>
          </cell>
          <cell r="H9" t="str">
            <v>UNIT</v>
          </cell>
          <cell r="I9" t="str">
            <v>PARCIAL</v>
          </cell>
          <cell r="J9" t="str">
            <v>UNITÁRIO</v>
          </cell>
          <cell r="K9" t="str">
            <v>PARCIAL</v>
          </cell>
        </row>
        <row r="10">
          <cell r="A10">
            <v>1</v>
          </cell>
          <cell r="B10" t="str">
            <v>SERVIÇOS DE ESCRITÓRIO, LABORATÓRIO E CAMPO</v>
          </cell>
          <cell r="I10">
            <v>218941.65</v>
          </cell>
          <cell r="K10">
            <v>197006.69</v>
          </cell>
        </row>
        <row r="11">
          <cell r="A11" t="str">
            <v>1.1</v>
          </cell>
          <cell r="B11" t="str">
            <v>01.050.0300-0</v>
          </cell>
          <cell r="C11" t="str">
            <v>01.050.0300-A</v>
          </cell>
          <cell r="D11" t="str">
            <v>EMOP</v>
          </cell>
          <cell r="E11" t="str">
            <v>RELATORIO FINAL DE OBRAS OU SERVICOS DE ENGENHARIA,REGISTROFOTOGRAFICO DOS SERVICOS,ACOMPANHADO DE LEGENDAS E INDICACAODA LOCALIZACAO,INFORMACOES CONTRATUAIS,PLANILHA ORCAMENTARIA E DESCRICAO DO ESCOPO DOS SERVICOS REALIZADOS,CONF.RECOMENDACOES E ESPECIFICACOES DO ORGAO CONTRATANTE.O ITEM DEVERA SER MEDIDO PELO NUMERO PRANCHAS ORIGINAIS COMPOE RELATORIO</v>
          </cell>
          <cell r="F11" t="str">
            <v>UN</v>
          </cell>
          <cell r="G11">
            <v>1</v>
          </cell>
          <cell r="H11">
            <v>2083.64</v>
          </cell>
          <cell r="I11">
            <v>2083.64</v>
          </cell>
          <cell r="J11">
            <v>1875.07</v>
          </cell>
          <cell r="K11">
            <v>1875.07</v>
          </cell>
        </row>
        <row r="12">
          <cell r="A12" t="str">
            <v>1.2</v>
          </cell>
          <cell r="B12" t="str">
            <v>01.050.0518-0</v>
          </cell>
          <cell r="C12" t="str">
            <v>01.050.0518-A</v>
          </cell>
          <cell r="D12" t="str">
            <v>EMOP</v>
          </cell>
          <cell r="E12" t="str">
            <v>PROJETO EXECUTIVO DE INSTALACAO ELETRICA,CONSIDERANDO O PROJETO BASICO EXISTENTE,PARA PREDIOS CULTURAIS ATE 3000M2,APRESENTADO NOS PADROES DA CONTRATANTE,INCLUSIVE AS LEGALIZACOESPERTINENTES</v>
          </cell>
          <cell r="F12" t="str">
            <v>M2</v>
          </cell>
          <cell r="G12">
            <v>1081.3399999999999</v>
          </cell>
          <cell r="H12">
            <v>16.32</v>
          </cell>
          <cell r="I12">
            <v>17647.46</v>
          </cell>
          <cell r="J12">
            <v>14.68</v>
          </cell>
          <cell r="K12">
            <v>15874.07</v>
          </cell>
        </row>
        <row r="13">
          <cell r="A13" t="str">
            <v>1.3</v>
          </cell>
          <cell r="B13" t="str">
            <v>01.050.0380-0</v>
          </cell>
          <cell r="C13" t="str">
            <v>01.050.0380-A</v>
          </cell>
          <cell r="D13" t="str">
            <v>EMOP</v>
          </cell>
          <cell r="E13" t="str">
            <v>PROJETO EXECUTIVO DE INSTALACAO DE INCENDIO E SPDA,CONSIDERANDO PROJETO BASICO EXISTENTE,PARA PREDIOS CULTURAIS ACIMA DE500M2,APRESENTADO NOS PADROES DA CONTRATANTE,INCLUSIVE AS LEGALIZACOES PERTINENTES</v>
          </cell>
          <cell r="F13" t="str">
            <v>M2</v>
          </cell>
          <cell r="G13">
            <v>1081.3399999999999</v>
          </cell>
          <cell r="H13">
            <v>8.19</v>
          </cell>
          <cell r="I13">
            <v>8856.17</v>
          </cell>
          <cell r="J13">
            <v>7.37</v>
          </cell>
          <cell r="K13">
            <v>7969.47</v>
          </cell>
        </row>
        <row r="14">
          <cell r="A14" t="str">
            <v>1.4</v>
          </cell>
          <cell r="B14" t="str">
            <v>01.050.0022-0</v>
          </cell>
          <cell r="C14" t="str">
            <v>01.050.0022-A</v>
          </cell>
          <cell r="D14" t="str">
            <v>EMOP</v>
          </cell>
          <cell r="E14" t="str">
            <v>PROJETO EXECUTIVO DE ARQUITETURA PARA PREDIOS CULTURAIS ATE500M2,INCLUSIVE PROJETO BASICO,APRESENTADO NOS PADROES DA CONTRATANTE,INCLUSIVE AS LEGALIZACOES PERTINENTES,COORDENACAOE COMPATIBILIZACAO COM OS PROJETOS COMPLEMENTARES</v>
          </cell>
          <cell r="F14" t="str">
            <v>M2</v>
          </cell>
          <cell r="G14">
            <v>581.33999999999992</v>
          </cell>
          <cell r="H14">
            <v>185.51</v>
          </cell>
          <cell r="I14">
            <v>107844.38</v>
          </cell>
          <cell r="J14">
            <v>166.93</v>
          </cell>
          <cell r="K14">
            <v>97043.08</v>
          </cell>
        </row>
        <row r="15">
          <cell r="A15" t="str">
            <v>1.5</v>
          </cell>
          <cell r="B15" t="str">
            <v>01.050.0023-0</v>
          </cell>
          <cell r="C15" t="str">
            <v>01.050.0023-A</v>
          </cell>
          <cell r="D15" t="str">
            <v>EMOP</v>
          </cell>
          <cell r="E15" t="str">
            <v>PROJETO EXECUTIVO DE ARQUITETURA PARA PREDIOS CULTURAIS DE 501 ATE 3.000M2,INCLUSIVE PROJETO BASICO,APRESENTADO NOS PADROES DA CONTRATANTE,INCLUSIVE AS LEGALIZACOES PERTINENTES,COORDENACAO E COMPATIBILIZACAO COM OS PROJETOS COMPLEMENTARES</v>
          </cell>
          <cell r="F15" t="str">
            <v>M2</v>
          </cell>
          <cell r="G15">
            <v>500</v>
          </cell>
          <cell r="H15">
            <v>165.02</v>
          </cell>
          <cell r="I15">
            <v>82510</v>
          </cell>
          <cell r="J15">
            <v>148.49</v>
          </cell>
          <cell r="K15">
            <v>74245</v>
          </cell>
        </row>
        <row r="16">
          <cell r="A16">
            <v>2</v>
          </cell>
          <cell r="B16" t="str">
            <v>CANTEIRO DE OBRAS</v>
          </cell>
          <cell r="I16">
            <v>31120.42</v>
          </cell>
          <cell r="K16">
            <v>29726.949999999997</v>
          </cell>
        </row>
        <row r="17">
          <cell r="A17" t="str">
            <v>2.1</v>
          </cell>
          <cell r="B17" t="str">
            <v>02.020.0002-0</v>
          </cell>
          <cell r="C17" t="str">
            <v>02.020.0002-A</v>
          </cell>
          <cell r="D17" t="str">
            <v>EMOP</v>
          </cell>
          <cell r="E17" t="str">
            <v>PLACA DE IDENTIFICACAO DE OBRA PUBLICA,TIPO BANNER/PLOTTER,CONSTITUIDA POR LONA E IMPRESSAO DIGITAL,INCLUSIVE SUPORTES DE MADEIRA.FORNECIMENTO E COLOCACAO</v>
          </cell>
          <cell r="F17" t="str">
            <v>M2</v>
          </cell>
          <cell r="G17">
            <v>8</v>
          </cell>
          <cell r="H17">
            <v>308.99</v>
          </cell>
          <cell r="I17">
            <v>2471.92</v>
          </cell>
          <cell r="J17">
            <v>298.63</v>
          </cell>
          <cell r="K17">
            <v>2389.04</v>
          </cell>
        </row>
        <row r="18">
          <cell r="A18" t="str">
            <v>2.2</v>
          </cell>
          <cell r="B18" t="str">
            <v>02.004.0001-0</v>
          </cell>
          <cell r="C18" t="str">
            <v>02.004.0001-A</v>
          </cell>
          <cell r="D18" t="str">
            <v>EMOP</v>
          </cell>
          <cell r="E18" t="str">
            <v>BARRACAO DE OBRA,COM PAREDES E PISO DE TABUAS DE MADEIRA DE3ª,COBERTURA DE TELHAS DE FIBROCIMENTO DE 6MM,E INSTALACOES,EXCLUSIVE PINTURA,SENDO REAPROVEITADO 2 VEZES</v>
          </cell>
          <cell r="F18" t="str">
            <v>M2</v>
          </cell>
          <cell r="G18">
            <v>24</v>
          </cell>
          <cell r="H18">
            <v>545.65</v>
          </cell>
          <cell r="I18">
            <v>13095.6</v>
          </cell>
          <cell r="J18">
            <v>502.74</v>
          </cell>
          <cell r="K18">
            <v>12065.76</v>
          </cell>
        </row>
        <row r="19">
          <cell r="A19" t="str">
            <v>2.3</v>
          </cell>
          <cell r="B19" t="str">
            <v>02.006.0050-0</v>
          </cell>
          <cell r="C19" t="str">
            <v>02.006.0050-A</v>
          </cell>
          <cell r="D19" t="str">
            <v>EMOP</v>
          </cell>
          <cell r="E19" t="str">
            <v>ALUGUEL DE BANHEIRO QUIMICO,PORTATIL,MEDINDO 2,31M ALTURA X1,56M LARGURA E 1,16M PROFUNDIDADE,INCLUSIVE INSTALACAO E RETIRADA DO EQUIPAMENTO,FORNECIMENTO DE QUIMICA DESODORIZANTE,BACTERICIDA E BACTERIOSTATICA,PAPEL HIGIENICO E VEICULO PROPRIO COM UNIDADE MOVEL DE SUCCAO PARA LIMPEZA</v>
          </cell>
          <cell r="F19" t="str">
            <v>UNXMES</v>
          </cell>
          <cell r="G19">
            <v>8</v>
          </cell>
          <cell r="H19">
            <v>1300</v>
          </cell>
          <cell r="I19">
            <v>10400</v>
          </cell>
          <cell r="J19">
            <v>1300</v>
          </cell>
          <cell r="K19">
            <v>10400</v>
          </cell>
        </row>
        <row r="20">
          <cell r="A20" t="str">
            <v>2.4</v>
          </cell>
          <cell r="B20" t="str">
            <v>02.001.0001-0</v>
          </cell>
          <cell r="C20" t="str">
            <v>02.001.0001-A</v>
          </cell>
          <cell r="D20" t="str">
            <v>EMOP</v>
          </cell>
          <cell r="E20" t="str">
            <v>TAPUME DE VEDACAO OU PROTECAO,EXECUTADO C/CHAPAS DE MADEIRACOMPENSADA,RESINADA,LISA,DE COLAGEM FENOLICA,A PROVA D`AGUA,COM 2,20X1,10M E 6MM DE ESPESSURA,PREGADAS EM PECAS DE MADEIRA DE 3ª DE 3"X3" HORIZONTAIS E VERTICAIS A CADA 1,22M,EXCLUSIVE PINTURA</v>
          </cell>
          <cell r="F20" t="str">
            <v>M2</v>
          </cell>
          <cell r="G20">
            <v>67.650000000000006</v>
          </cell>
          <cell r="H20">
            <v>76.17</v>
          </cell>
          <cell r="I20">
            <v>5152.8999999999996</v>
          </cell>
          <cell r="J20">
            <v>72.02</v>
          </cell>
          <cell r="K20">
            <v>4872.1499999999996</v>
          </cell>
        </row>
        <row r="21">
          <cell r="A21">
            <v>3</v>
          </cell>
          <cell r="B21" t="str">
            <v>TRANSPORTES</v>
          </cell>
          <cell r="I21">
            <v>4273.9400000000005</v>
          </cell>
          <cell r="K21">
            <v>4225.1399999999994</v>
          </cell>
        </row>
        <row r="22">
          <cell r="A22" t="str">
            <v>3.1</v>
          </cell>
          <cell r="B22" t="str">
            <v>04.020.0122-0</v>
          </cell>
          <cell r="C22" t="str">
            <v>04.020.0122-A</v>
          </cell>
          <cell r="D22" t="str">
            <v>EMOP</v>
          </cell>
          <cell r="E22" t="str">
            <v>TRANSPORTE DE ANDAIME TUBULAR,CONSIDERANDO-SE A AREA DE PROJECAO VERTICAL DO ANDAIME,EXCLUSIVE CARGA,DESCARGA E TEMPO DEESPERA DO CAMINHAO(VIDE ITEM 04.021.0010)</v>
          </cell>
          <cell r="F22" t="str">
            <v>M2XKM</v>
          </cell>
          <cell r="G22">
            <v>9117</v>
          </cell>
          <cell r="H22">
            <v>0.2</v>
          </cell>
          <cell r="I22">
            <v>1823.4</v>
          </cell>
          <cell r="J22">
            <v>0.2</v>
          </cell>
          <cell r="K22">
            <v>1823.4</v>
          </cell>
        </row>
        <row r="23">
          <cell r="A23" t="str">
            <v>3.2</v>
          </cell>
          <cell r="B23" t="str">
            <v>04.021.0010-0</v>
          </cell>
          <cell r="C23" t="str">
            <v>04.021.0010-A</v>
          </cell>
          <cell r="D23" t="str">
            <v>EMOP</v>
          </cell>
          <cell r="E23" t="str">
            <v>CARGA E DESCARGA MANUAL DE ANDAIME TUBULAR,INCLUSIVE TEMPO DE ESPERA DO CAMINHAO,CONSIDERANDO-SE A AREA DE PROJECAO VERTICAL</v>
          </cell>
          <cell r="F23" t="str">
            <v>M2</v>
          </cell>
          <cell r="G23">
            <v>607.79999999999995</v>
          </cell>
          <cell r="H23">
            <v>1.05</v>
          </cell>
          <cell r="I23">
            <v>638.19000000000005</v>
          </cell>
          <cell r="J23">
            <v>0.98</v>
          </cell>
          <cell r="K23">
            <v>595.64</v>
          </cell>
        </row>
        <row r="24">
          <cell r="A24" t="str">
            <v>3.3</v>
          </cell>
          <cell r="B24" t="str">
            <v>04.014.0095-0</v>
          </cell>
          <cell r="C24" t="str">
            <v>04.014.0095-A</v>
          </cell>
          <cell r="D24" t="str">
            <v>EMOP</v>
          </cell>
          <cell r="E24" t="str">
            <v>RETIRADA DE ENTULHO DE OBRA COM CACAMBA DE ACO TIPO CONTAINER COM 5M3 DE CAPACIDADE,INCLUSIVE CARREGAMENTO,TRANSPORTE EDESCARREGAMENTO.CUSTO POR UNIDADE DE CACAMBA E INCLUI A TAXA PARA DESCARGA EM LOCAIS AUTORIZADOS</v>
          </cell>
          <cell r="F24" t="str">
            <v>UN</v>
          </cell>
          <cell r="G24">
            <v>5</v>
          </cell>
          <cell r="H24">
            <v>362.47</v>
          </cell>
          <cell r="I24">
            <v>1812.35</v>
          </cell>
          <cell r="J24">
            <v>361.22</v>
          </cell>
          <cell r="K24">
            <v>1806.1</v>
          </cell>
        </row>
        <row r="25">
          <cell r="A25">
            <v>4</v>
          </cell>
          <cell r="B25" t="str">
            <v>SERVIÇOS PRELIMINARES</v>
          </cell>
          <cell r="I25">
            <v>178348.46</v>
          </cell>
          <cell r="K25">
            <v>174444.45000000004</v>
          </cell>
        </row>
        <row r="26">
          <cell r="A26" t="str">
            <v>4.1</v>
          </cell>
          <cell r="B26" t="str">
            <v>05.006.0001-1</v>
          </cell>
          <cell r="C26" t="str">
            <v>05.006.0001-B</v>
          </cell>
          <cell r="D26" t="str">
            <v>EMOP</v>
          </cell>
          <cell r="E26" t="str">
            <v>LOCACAO DE ANDAIME COM ELEMENTOS TUBULARES SOBRE SAPATAS FIXAS,CONSIDERANDO-SE A AREA DA PROJECAO VERTICAL DO ANDAIME EPAGO PELO TEMPO NECESSARIO A SUA UTILIZACAO,EXCLUSIVE TRANSPORTE DOS ELEMENTOS DO ANDAIME ATE A OBRA,PLATAFORMA OU PASSARELA DE PINHO,MONTAGEM E DESMONTAGEM DOS ANDAIMES</v>
          </cell>
          <cell r="F26" t="str">
            <v>M2XMES</v>
          </cell>
          <cell r="G26">
            <v>2431.1999999999998</v>
          </cell>
          <cell r="H26">
            <v>39.659999999999997</v>
          </cell>
          <cell r="I26">
            <v>96421.39</v>
          </cell>
          <cell r="J26">
            <v>39.659999999999997</v>
          </cell>
          <cell r="K26">
            <v>96421.39</v>
          </cell>
        </row>
        <row r="27">
          <cell r="A27" t="str">
            <v>4.2</v>
          </cell>
          <cell r="B27" t="str">
            <v>05.008.0001-0</v>
          </cell>
          <cell r="C27" t="str">
            <v>05.008.0001-A</v>
          </cell>
          <cell r="D27" t="str">
            <v>EMOP</v>
          </cell>
          <cell r="E27" t="str">
            <v>MONTAGEM E DESMONTAGEM DE ANDAIME COM ELEMENTOS TUBULARES,CONSIDERANDO-SE A AREA VERTICAL RECOBERTA</v>
          </cell>
          <cell r="F27" t="str">
            <v>M2</v>
          </cell>
          <cell r="G27">
            <v>2767.5</v>
          </cell>
          <cell r="H27">
            <v>8.31</v>
          </cell>
          <cell r="I27">
            <v>22997.919999999998</v>
          </cell>
          <cell r="J27">
            <v>7.48</v>
          </cell>
          <cell r="K27">
            <v>20700.900000000001</v>
          </cell>
        </row>
        <row r="28">
          <cell r="A28" t="str">
            <v>4.3</v>
          </cell>
          <cell r="B28" t="str">
            <v>05.001.0065-0</v>
          </cell>
          <cell r="C28" t="str">
            <v>05.001.0065-A</v>
          </cell>
          <cell r="D28" t="str">
            <v>EMOP</v>
          </cell>
          <cell r="E28" t="str">
            <v>REMOCAO DE FORRO OU LAMBRI DE FRISOS DE MADEIRA OU PVC,PLACAS DE AGLOMERADO PRENSADO OU SEMELHANTES,INCLUSIVE O ENGRADAMAMENTO</v>
          </cell>
          <cell r="F28" t="str">
            <v>M2</v>
          </cell>
          <cell r="G28">
            <v>516.95000000000005</v>
          </cell>
          <cell r="H28">
            <v>9.35</v>
          </cell>
          <cell r="I28">
            <v>4833.4799999999996</v>
          </cell>
          <cell r="J28">
            <v>8.42</v>
          </cell>
          <cell r="K28">
            <v>4352.71</v>
          </cell>
        </row>
        <row r="29">
          <cell r="A29" t="str">
            <v>4.4</v>
          </cell>
          <cell r="B29" t="str">
            <v>05.001.0134-0</v>
          </cell>
          <cell r="C29" t="str">
            <v>05.001.0134-A</v>
          </cell>
          <cell r="D29" t="str">
            <v>EMOP</v>
          </cell>
          <cell r="E29" t="str">
            <v>ARRANCAMENTO DE PORTAS,JANELAS E CAIXILHOS DE AR CONDICIONADO OU OUTROS</v>
          </cell>
          <cell r="F29" t="str">
            <v>UN</v>
          </cell>
          <cell r="G29">
            <v>43</v>
          </cell>
          <cell r="H29">
            <v>29.42</v>
          </cell>
          <cell r="I29">
            <v>1265.06</v>
          </cell>
          <cell r="J29">
            <v>26.48</v>
          </cell>
          <cell r="K29">
            <v>1138.6400000000001</v>
          </cell>
        </row>
        <row r="30">
          <cell r="A30" t="str">
            <v>4.5</v>
          </cell>
          <cell r="B30" t="str">
            <v>05.001.0009-0</v>
          </cell>
          <cell r="C30" t="str">
            <v>05.001.0009-A</v>
          </cell>
          <cell r="D30" t="str">
            <v>EMOP</v>
          </cell>
          <cell r="E30" t="str">
            <v>DEMOLICAO DE REVESTIMENTO EM AZULEJOS,CERAMICAS OU MARMORE EM PAREDE,EXCLUSIVE A CAMADA DE ASSENTAMENTO</v>
          </cell>
          <cell r="F30" t="str">
            <v>M2</v>
          </cell>
          <cell r="G30">
            <v>151.24500000000003</v>
          </cell>
          <cell r="H30">
            <v>24.95</v>
          </cell>
          <cell r="I30">
            <v>3773.56</v>
          </cell>
          <cell r="J30">
            <v>22.45</v>
          </cell>
          <cell r="K30">
            <v>3395.45</v>
          </cell>
        </row>
        <row r="31">
          <cell r="A31" t="str">
            <v>4.6</v>
          </cell>
          <cell r="B31">
            <v>97633</v>
          </cell>
          <cell r="C31">
            <v>97633</v>
          </cell>
          <cell r="D31" t="str">
            <v>SINAPI</v>
          </cell>
          <cell r="E31" t="str">
            <v>TE DUPLA CURVA EM BRONZE/LATÃO, DN 3/4" X 22 MM X 3/4", SEM ANEL DE SOLDA, ROSCA F X BOLSA X ROSCA F, INSTALADO EM RAMAL E SUB-RAMAL DE HIDRÁULICA PREDIAL - FORNECIMENTO E INSTALAÇÃO. AF_04/2022</v>
          </cell>
          <cell r="F31" t="str">
            <v>UN</v>
          </cell>
          <cell r="G31">
            <v>5.7792000000000012</v>
          </cell>
          <cell r="H31">
            <v>35.299999999999997</v>
          </cell>
          <cell r="I31">
            <v>204</v>
          </cell>
          <cell r="J31">
            <v>32.549999999999997</v>
          </cell>
          <cell r="K31">
            <v>188.11</v>
          </cell>
        </row>
        <row r="32">
          <cell r="A32" t="str">
            <v>4.7</v>
          </cell>
          <cell r="B32">
            <v>97631</v>
          </cell>
          <cell r="C32">
            <v>97631</v>
          </cell>
          <cell r="D32" t="str">
            <v>SINAPI</v>
          </cell>
          <cell r="E32" t="str">
            <v>LUVA PASSANTE EM COBRE, DN 66 MM, SEM ANEL DE SOLDA, INSTALADO EM PRUMADA DE HIDRÁULICA PREDIAL - FORNECIMENTO E INSTALAÇÃO. AF_04/2022</v>
          </cell>
          <cell r="F32" t="str">
            <v>UN</v>
          </cell>
          <cell r="G32">
            <v>221.25749999999999</v>
          </cell>
          <cell r="H32">
            <v>17.38</v>
          </cell>
          <cell r="I32">
            <v>3845.45</v>
          </cell>
          <cell r="J32">
            <v>16.04</v>
          </cell>
          <cell r="K32">
            <v>3548.97</v>
          </cell>
        </row>
        <row r="33">
          <cell r="A33" t="str">
            <v>4.8</v>
          </cell>
          <cell r="B33" t="str">
            <v>05.001.0145-0</v>
          </cell>
          <cell r="C33" t="str">
            <v>05.001.0145-A</v>
          </cell>
          <cell r="D33" t="str">
            <v>EMOP</v>
          </cell>
          <cell r="E33" t="str">
            <v>ARRANCAMENTO DE APARELHOS SANITARIOS</v>
          </cell>
          <cell r="F33" t="str">
            <v>UN</v>
          </cell>
          <cell r="G33">
            <v>10</v>
          </cell>
          <cell r="H33">
            <v>24.77</v>
          </cell>
          <cell r="I33">
            <v>247.7</v>
          </cell>
          <cell r="J33">
            <v>22.29</v>
          </cell>
          <cell r="K33">
            <v>222.9</v>
          </cell>
        </row>
        <row r="34">
          <cell r="A34" t="str">
            <v>4.9</v>
          </cell>
          <cell r="B34" t="str">
            <v>05.041.0875-0</v>
          </cell>
          <cell r="C34" t="str">
            <v>05.041.0875-A</v>
          </cell>
          <cell r="D34" t="str">
            <v>EMOP</v>
          </cell>
          <cell r="E34" t="str">
            <v>RASPAGEM,CALAFETACAO E APLICACAO DE TRES DEMAOS DE RESINA LIQUIDA A BASE DE UREIA-FORMOL,EM TACOS OU SOALHO DE MADEIRA</v>
          </cell>
          <cell r="F34" t="str">
            <v>M2</v>
          </cell>
          <cell r="G34">
            <v>481.94</v>
          </cell>
          <cell r="H34">
            <v>60</v>
          </cell>
          <cell r="I34">
            <v>28916.400000000001</v>
          </cell>
          <cell r="J34">
            <v>60</v>
          </cell>
          <cell r="K34">
            <v>28916.400000000001</v>
          </cell>
        </row>
        <row r="35">
          <cell r="A35" t="str">
            <v>4.10</v>
          </cell>
          <cell r="B35" t="str">
            <v>05.042.0880-0</v>
          </cell>
          <cell r="C35" t="str">
            <v>05.042.0880-A</v>
          </cell>
          <cell r="D35" t="str">
            <v>EMOP</v>
          </cell>
          <cell r="E35" t="str">
            <v>ENCERAMENTO DE PISO DE QUALQUER NATUREZA,UMA DEMAO</v>
          </cell>
          <cell r="F35" t="str">
            <v>M2</v>
          </cell>
          <cell r="G35">
            <v>469.82</v>
          </cell>
          <cell r="H35">
            <v>7.28</v>
          </cell>
          <cell r="I35">
            <v>3420.28</v>
          </cell>
          <cell r="J35">
            <v>6.84</v>
          </cell>
          <cell r="K35">
            <v>3213.56</v>
          </cell>
        </row>
        <row r="36">
          <cell r="A36" t="str">
            <v>4.11</v>
          </cell>
          <cell r="B36" t="str">
            <v>05.007.0007-0</v>
          </cell>
          <cell r="C36" t="str">
            <v>05.007.0007-A</v>
          </cell>
          <cell r="D36" t="str">
            <v>EMOP</v>
          </cell>
          <cell r="E36" t="str">
            <v>LOCACAO DE PASSARELA METALICA,PERFURADA,PARA ANDAIME METALICO TUBULAR,INCLUSIVE TRANSPORTE,CARGA E DESCARGA,EXCLUSIVE ANDAIME TUBULAR E MOVIMENTACAO (VIDE ITEM 05.008.0008)</v>
          </cell>
          <cell r="F36" t="str">
            <v>M2XMES</v>
          </cell>
          <cell r="G36">
            <v>50.65</v>
          </cell>
          <cell r="H36">
            <v>101.88</v>
          </cell>
          <cell r="I36">
            <v>5160.22</v>
          </cell>
          <cell r="J36">
            <v>101.88</v>
          </cell>
          <cell r="K36">
            <v>5160.22</v>
          </cell>
        </row>
        <row r="37">
          <cell r="A37" t="str">
            <v>4.12</v>
          </cell>
          <cell r="B37" t="str">
            <v>05.008.0008-1</v>
          </cell>
          <cell r="C37" t="str">
            <v>05.008.0008-B</v>
          </cell>
          <cell r="D37" t="str">
            <v>EMOP</v>
          </cell>
          <cell r="E37" t="str">
            <v>MOVIMENTACAO VERTICAL OU HORIZONTAL DE PLATAFORMA OU PASSARELA</v>
          </cell>
          <cell r="F37" t="str">
            <v>M2</v>
          </cell>
          <cell r="G37">
            <v>861.8</v>
          </cell>
          <cell r="H37">
            <v>0.68</v>
          </cell>
          <cell r="I37">
            <v>586.02</v>
          </cell>
          <cell r="J37">
            <v>0.61</v>
          </cell>
          <cell r="K37">
            <v>525.69000000000005</v>
          </cell>
        </row>
        <row r="38">
          <cell r="A38" t="str">
            <v>4.13</v>
          </cell>
          <cell r="B38" t="str">
            <v>05.001.0171-0</v>
          </cell>
          <cell r="C38" t="str">
            <v>05.001.0171-0</v>
          </cell>
          <cell r="D38" t="str">
            <v>EMOP</v>
          </cell>
          <cell r="E38" t="str">
            <v>TRANSPORTE HORIZONTAL DE MATERIAL DE 1ªCATEGORIA OU ENTULHO,EM CARRINHOS,A 20,00M DE DISTANCIA,INCLUSIVE CARGA A PA</v>
          </cell>
          <cell r="F38" t="str">
            <v>M3</v>
          </cell>
          <cell r="G38">
            <v>24.45</v>
          </cell>
          <cell r="H38">
            <v>29.11</v>
          </cell>
          <cell r="I38">
            <v>711.73</v>
          </cell>
          <cell r="J38">
            <v>29.11</v>
          </cell>
          <cell r="K38">
            <v>711.73</v>
          </cell>
        </row>
        <row r="39">
          <cell r="A39" t="str">
            <v>4.14</v>
          </cell>
          <cell r="B39" t="str">
            <v>06.016.0053-0</v>
          </cell>
          <cell r="C39" t="str">
            <v>06.016.0053-A</v>
          </cell>
          <cell r="D39" t="str">
            <v>EMOP</v>
          </cell>
          <cell r="E39" t="str">
            <v>GRELHA PARA CANALETA DE FERRO FUNDIDO,COM CAIXILHO,COM (40X100)CM,CONFORME ABNT NBR 10160.FORNECIMENTO E ASSENTAMENTO</v>
          </cell>
          <cell r="F39" t="str">
            <v>M</v>
          </cell>
          <cell r="G39">
            <v>10.75</v>
          </cell>
          <cell r="H39">
            <v>273.32</v>
          </cell>
          <cell r="I39">
            <v>2938.19</v>
          </cell>
          <cell r="J39">
            <v>272.99</v>
          </cell>
          <cell r="K39">
            <v>2934.64</v>
          </cell>
        </row>
        <row r="40">
          <cell r="A40" t="str">
            <v>4.15</v>
          </cell>
          <cell r="B40" t="str">
            <v>05.054.0015-0</v>
          </cell>
          <cell r="C40" t="str">
            <v>05.054.0015-A</v>
          </cell>
          <cell r="D40" t="str">
            <v>EMOP</v>
          </cell>
          <cell r="E40" t="str">
            <v>PLACA DE ACRILICO,DESENHADA,INDICANDO SANITARIO MASCULINO OUFEMININO,DE (39X19)CM.FORNECIMENTO E COLOCACAO</v>
          </cell>
          <cell r="F40" t="str">
            <v>UN</v>
          </cell>
          <cell r="G40">
            <v>6</v>
          </cell>
          <cell r="H40">
            <v>355.95</v>
          </cell>
          <cell r="I40">
            <v>2135.6999999999998</v>
          </cell>
          <cell r="J40">
            <v>355.37</v>
          </cell>
          <cell r="K40">
            <v>2132.2199999999998</v>
          </cell>
        </row>
        <row r="41">
          <cell r="A41" t="str">
            <v>4.16</v>
          </cell>
          <cell r="B41" t="str">
            <v>05.054.0001-0</v>
          </cell>
          <cell r="C41" t="str">
            <v>05.054.0001-A</v>
          </cell>
          <cell r="D41" t="str">
            <v>EMOP</v>
          </cell>
          <cell r="E41" t="str">
            <v>PLACA DE ACRILICO PARA IDENTIFICACAO DE PORTAS,MEDINDO (25X8)CM.FORNECIMENTO E COLOCACAO</v>
          </cell>
          <cell r="F41" t="str">
            <v>UN</v>
          </cell>
          <cell r="G41">
            <v>18</v>
          </cell>
          <cell r="H41">
            <v>49.52</v>
          </cell>
          <cell r="I41">
            <v>891.36</v>
          </cell>
          <cell r="J41">
            <v>48.94</v>
          </cell>
          <cell r="K41">
            <v>880.92</v>
          </cell>
        </row>
        <row r="42">
          <cell r="A42">
            <v>5</v>
          </cell>
          <cell r="B42" t="str">
            <v>REVESTIMENTOS</v>
          </cell>
          <cell r="I42">
            <v>194446.36</v>
          </cell>
          <cell r="K42">
            <v>187974.99999999994</v>
          </cell>
        </row>
        <row r="43">
          <cell r="A43" t="str">
            <v>5.1</v>
          </cell>
          <cell r="B43" t="str">
            <v>13.195.0015-0</v>
          </cell>
          <cell r="C43" t="str">
            <v>13.195.0015-A</v>
          </cell>
          <cell r="D43" t="str">
            <v>EMOP</v>
          </cell>
          <cell r="E43" t="str">
            <v>FORRO DE TABUAS DE MADEIRA MACHO-FEMEA,COM (10X1)CM,PREGADOEM SARRAFOS DE MADEIRA DE (2X10)CM,ESPACADOS DE 50CM.FORNECIMENTO E COLOCACAO</v>
          </cell>
          <cell r="F43" t="str">
            <v>M2</v>
          </cell>
          <cell r="G43">
            <v>516.95000000000005</v>
          </cell>
          <cell r="H43">
            <v>203.33</v>
          </cell>
          <cell r="I43">
            <v>105111.44</v>
          </cell>
          <cell r="J43">
            <v>197.88</v>
          </cell>
          <cell r="K43">
            <v>102294.06</v>
          </cell>
        </row>
        <row r="44">
          <cell r="A44" t="str">
            <v>5.2</v>
          </cell>
          <cell r="B44" t="str">
            <v>13.030.0291-0</v>
          </cell>
          <cell r="C44" t="str">
            <v>13.030.0291-A</v>
          </cell>
          <cell r="D44" t="str">
            <v>EMOP</v>
          </cell>
          <cell r="E44" t="str">
            <v>REVESTIMENTO DE PAREDES COM CERAMICA,COM MEDIDAS EM TORNO DE(32X57)CM,ASSENTE CONFORME ITEM 13.025.0058</v>
          </cell>
          <cell r="F44" t="str">
            <v>M2</v>
          </cell>
          <cell r="G44">
            <v>151.24500000000003</v>
          </cell>
          <cell r="H44">
            <v>119.94</v>
          </cell>
          <cell r="I44">
            <v>18140.32</v>
          </cell>
          <cell r="J44">
            <v>114.23</v>
          </cell>
          <cell r="K44">
            <v>17276.71</v>
          </cell>
        </row>
        <row r="45">
          <cell r="A45" t="str">
            <v>5.3</v>
          </cell>
          <cell r="B45" t="str">
            <v>13.001.0026-0</v>
          </cell>
          <cell r="C45" t="str">
            <v>13.001.0026-A</v>
          </cell>
          <cell r="D45" t="str">
            <v>EMOP</v>
          </cell>
          <cell r="E45" t="str">
            <v>EMBOCO COM ARGAMASSA DE CIMENTO E AREIA,NO TRACO 1:3 COM 2CMDE ESPESSURA,INCLUSIVE CHAPISCO DE CIMENTO E AREIA,NO TRACO1:3</v>
          </cell>
          <cell r="F45" t="str">
            <v>M2</v>
          </cell>
          <cell r="G45">
            <v>221.25749999999999</v>
          </cell>
          <cell r="H45">
            <v>38.47</v>
          </cell>
          <cell r="I45">
            <v>8511.77</v>
          </cell>
          <cell r="J45">
            <v>35.799999999999997</v>
          </cell>
          <cell r="K45">
            <v>7921.01</v>
          </cell>
        </row>
        <row r="46">
          <cell r="A46" t="str">
            <v>5.4</v>
          </cell>
          <cell r="B46" t="str">
            <v>13.348.0055-0</v>
          </cell>
          <cell r="C46" t="str">
            <v>13.348.0055-A</v>
          </cell>
          <cell r="D46" t="str">
            <v>EMOP</v>
          </cell>
          <cell r="E46" t="str">
            <v>PEITORIL EM GRANITO CINZA ANDORINHA,ESPESSURA DE 2CM,LARGURADE 28CM,ASSENTADO COM NATA DE CIMENTO SOBRE ARGAMASSA DE CIMENTO,SAIBRO E AREIA,NO TRACO 1:3:3 E REJUNTAMENTO COM CIMENTO BRANCO</v>
          </cell>
          <cell r="F46" t="str">
            <v>M</v>
          </cell>
          <cell r="G46">
            <v>50.650000000000006</v>
          </cell>
          <cell r="H46">
            <v>166.48</v>
          </cell>
          <cell r="I46">
            <v>8432.2099999999991</v>
          </cell>
          <cell r="J46">
            <v>164.15</v>
          </cell>
          <cell r="K46">
            <v>8314.19</v>
          </cell>
        </row>
        <row r="47">
          <cell r="A47" t="str">
            <v>5.5</v>
          </cell>
          <cell r="B47" t="str">
            <v>13.301.0510-0</v>
          </cell>
          <cell r="C47" t="str">
            <v>13.301.0510-A</v>
          </cell>
          <cell r="D47" t="str">
            <v>EMOP</v>
          </cell>
          <cell r="E47" t="str">
            <v>RECOMPOSICAO DE PISO DE CONCRETO SIMPLES,COM RESISTENCIA DE15MPA,COM 8CM DE ESPESSURA,INCLUSIVE DEMOLICAO COM EQUIPAMENTO DE AR COMPRIMIDO DO PISO</v>
          </cell>
          <cell r="F47" t="str">
            <v>M2</v>
          </cell>
          <cell r="G47">
            <v>34.5</v>
          </cell>
          <cell r="H47">
            <v>124.14</v>
          </cell>
          <cell r="I47">
            <v>4282.83</v>
          </cell>
          <cell r="J47">
            <v>117.32</v>
          </cell>
          <cell r="K47">
            <v>4047.54</v>
          </cell>
        </row>
        <row r="48">
          <cell r="A48" t="str">
            <v>5.6</v>
          </cell>
          <cell r="B48" t="str">
            <v>13.331.0015-0</v>
          </cell>
          <cell r="C48" t="str">
            <v>13.331.0015-A</v>
          </cell>
          <cell r="D48" t="str">
            <v>EMOP</v>
          </cell>
          <cell r="E48" t="str">
            <v>REVESTIMENTO DE PISO CERAMICO EM PORCELANATO,ACABAMENTO DA BORDA RETIFICADO,NO FORMATO (60X60)CM,PARA USO EM AREAS COMERCIAIS COM TRAFEGO INTENSO,CONFORME ABNT NBR ISO 13006,ASSENTE EM SUPERFICIE NIVELADA COM ARGAMASSA COLANTE E REJUNTAMENTO PRONTO</v>
          </cell>
          <cell r="F48" t="str">
            <v>M2</v>
          </cell>
          <cell r="G48">
            <v>192.64000000000004</v>
          </cell>
          <cell r="H48">
            <v>142.63</v>
          </cell>
          <cell r="I48">
            <v>27476.240000000002</v>
          </cell>
          <cell r="J48">
            <v>136.93</v>
          </cell>
          <cell r="K48">
            <v>26378.19</v>
          </cell>
        </row>
        <row r="49">
          <cell r="A49" t="str">
            <v>5.7</v>
          </cell>
          <cell r="B49" t="str">
            <v>13.331.0051-0</v>
          </cell>
          <cell r="C49" t="str">
            <v>13.331.0051-A</v>
          </cell>
          <cell r="D49" t="str">
            <v>EMOP</v>
          </cell>
          <cell r="E49" t="str">
            <v>RODAPE DE CERAMICA EM PORCELANATO,COM 7,5 A 10CM DE ALTURA,ASSENTE CONFORME ITEM 13.025.0058.FEITO A PARTIR DE PLACA DEPORCELANATO COM AREA INFERIOR A 1,00M2</v>
          </cell>
          <cell r="F49" t="str">
            <v>M</v>
          </cell>
          <cell r="G49">
            <v>67.350000000000009</v>
          </cell>
          <cell r="H49">
            <v>43.36</v>
          </cell>
          <cell r="I49">
            <v>2920.29</v>
          </cell>
          <cell r="J49">
            <v>40.119999999999997</v>
          </cell>
          <cell r="K49">
            <v>2702.08</v>
          </cell>
        </row>
        <row r="50">
          <cell r="A50" t="str">
            <v>5.8</v>
          </cell>
          <cell r="B50">
            <v>96122</v>
          </cell>
          <cell r="C50">
            <v>96122</v>
          </cell>
          <cell r="D50" t="str">
            <v>SINAPI</v>
          </cell>
          <cell r="E50" t="str">
            <v>ACABAMENTOS PARA FORRO (RODA-FORRO EM MADEIRA PINUS). AF_08/2023</v>
          </cell>
          <cell r="F50" t="str">
            <v>M</v>
          </cell>
          <cell r="G50">
            <v>335.05</v>
          </cell>
          <cell r="H50">
            <v>57.14</v>
          </cell>
          <cell r="I50">
            <v>19144.75</v>
          </cell>
          <cell r="J50">
            <v>55.59</v>
          </cell>
          <cell r="K50">
            <v>18625.419999999998</v>
          </cell>
        </row>
        <row r="51">
          <cell r="A51" t="str">
            <v>5.9</v>
          </cell>
          <cell r="B51" t="str">
            <v>05.021.0150-0</v>
          </cell>
          <cell r="C51" t="str">
            <v>05.021.0150-A</v>
          </cell>
          <cell r="D51" t="str">
            <v>EMOP</v>
          </cell>
          <cell r="E51" t="str">
            <v>FITA ANTIDERRAPANTE AUTOADESIVA NA COR PRETA,PARA AREAS INTERNAS E EXTERNAS,COM LARGURA DE 50MM.FORNECIMENTO E COLOCACAO</v>
          </cell>
          <cell r="F51" t="str">
            <v>M</v>
          </cell>
          <cell r="G51">
            <v>63</v>
          </cell>
          <cell r="H51">
            <v>6.77</v>
          </cell>
          <cell r="I51">
            <v>426.51</v>
          </cell>
          <cell r="J51">
            <v>6.6</v>
          </cell>
          <cell r="K51">
            <v>415.8</v>
          </cell>
        </row>
        <row r="52">
          <cell r="A52">
            <v>6</v>
          </cell>
          <cell r="B52" t="str">
            <v>ESQUADRIAS</v>
          </cell>
          <cell r="I52">
            <v>197057.84</v>
          </cell>
          <cell r="K52">
            <v>195118.53</v>
          </cell>
        </row>
        <row r="53">
          <cell r="A53" t="str">
            <v>6.1</v>
          </cell>
          <cell r="B53">
            <v>100667</v>
          </cell>
          <cell r="C53">
            <v>100667</v>
          </cell>
          <cell r="D53" t="str">
            <v>SINAPI</v>
          </cell>
          <cell r="E53" t="str">
            <v>JANELA DE MADEIRA IMBUIA/CEDRO ARANA/CEDRO ROSAOU EQUIVALENTE, CAIXA DO BATENTE/ MARCO 10 CM, COM DUAS FOLHAS DE ABRIR TIPO VENEZIANAS E 2 FOLHAS GUILHOTINAS PARA VIDRO (VIDROS NÃO INCLUSOS), COM GUARNIÇÃO/ ALIZAR E FERRAGENS, FIXAÇÃO COM PARAFUSOS E ESPUMA EXPANSIVA, EXCLUSIVE CONTRAMARCO - FORNECIMENTO E INSTALAÇÃO. AF_11/2024</v>
          </cell>
          <cell r="F53" t="str">
            <v>M2</v>
          </cell>
          <cell r="G53">
            <v>153.44000000000003</v>
          </cell>
          <cell r="H53">
            <v>1085.3900000000001</v>
          </cell>
          <cell r="I53">
            <v>166542.24</v>
          </cell>
          <cell r="J53">
            <v>1076.42</v>
          </cell>
          <cell r="K53">
            <v>165165.88</v>
          </cell>
        </row>
        <row r="54">
          <cell r="A54" t="str">
            <v>6.2</v>
          </cell>
          <cell r="B54">
            <v>100668</v>
          </cell>
          <cell r="C54">
            <v>100668</v>
          </cell>
          <cell r="D54" t="str">
            <v>SINAPI</v>
          </cell>
          <cell r="E54" t="str">
            <v>JANELA DE MADEIRA CEDRINHO/ ANGELIM COMERCIAL/ CURUPIXA/ CUMARU OU EQUIVALENTE DA REGIÃO, TIPO MAXIMA AR, PARA VIDRO (VIDRO NÃO INCLUSO), CAIXA DO BATENTE/ MARCO DE 10 CM, COM GUARNIÇÕES/ ALIZAR E FERRAGENS, SEM ACABAMENTO, FIXAÇÃO COM PARAFUSOS E ESPUMA EXPANSIVA, EXCLUSIVE CONTRAMARCO - FORNECIMENTO E INSTALAÇÃO. AF_11/2024</v>
          </cell>
          <cell r="F54" t="str">
            <v>M2</v>
          </cell>
          <cell r="G54">
            <v>2.52</v>
          </cell>
          <cell r="H54">
            <v>1390.83</v>
          </cell>
          <cell r="I54">
            <v>3504.89</v>
          </cell>
          <cell r="J54">
            <v>1370.2</v>
          </cell>
          <cell r="K54">
            <v>3452.9</v>
          </cell>
        </row>
        <row r="55">
          <cell r="A55" t="str">
            <v>6.3</v>
          </cell>
          <cell r="B55" t="str">
            <v>14.004.0015-0</v>
          </cell>
          <cell r="C55" t="str">
            <v>14.004.0015-A</v>
          </cell>
          <cell r="D55" t="str">
            <v>EMOP</v>
          </cell>
          <cell r="E55" t="str">
            <v>VIDRO PLANO TRANSPARENTE,COMUM,DE 4MM DE ESPESSURA.FORNECIMENTO E COLOCACAO</v>
          </cell>
          <cell r="F55" t="str">
            <v>M2</v>
          </cell>
          <cell r="G55">
            <v>177.82923648924407</v>
          </cell>
          <cell r="H55">
            <v>141.26</v>
          </cell>
          <cell r="I55">
            <v>25120.15</v>
          </cell>
          <cell r="J55">
            <v>139.03</v>
          </cell>
          <cell r="K55">
            <v>24723.59</v>
          </cell>
        </row>
        <row r="56">
          <cell r="A56" t="str">
            <v>6.4</v>
          </cell>
          <cell r="B56" t="str">
            <v>14.002.0081-0</v>
          </cell>
          <cell r="C56" t="str">
            <v>14.002.0081-A</v>
          </cell>
          <cell r="D56" t="str">
            <v>EMOP</v>
          </cell>
          <cell r="E56" t="str">
            <v>PORTAO DE FERRO, ATE 1,00M DE LARGURA, EM BARRAS DE 1/2", ESPACADAS DE 10CM, ENTRE EIXOS, CONTORNO E MARCO EM BARRAS DE1.1/2"X1/2", COM UMA FAIXA HORIZONTAL EM CHAPA DE FERRO DE1/8" ESPESSURA,EXCLUSIVE FECHADURA.FORNECIMENTO E COLOCACAO</v>
          </cell>
          <cell r="F56" t="str">
            <v>M2</v>
          </cell>
          <cell r="G56">
            <v>1.2</v>
          </cell>
          <cell r="H56">
            <v>1575.47</v>
          </cell>
          <cell r="I56">
            <v>1890.56</v>
          </cell>
          <cell r="J56">
            <v>1480.14</v>
          </cell>
          <cell r="K56">
            <v>1776.16</v>
          </cell>
        </row>
        <row r="57">
          <cell r="A57">
            <v>7</v>
          </cell>
          <cell r="B57" t="str">
            <v>INSTALAÇÕES ELÉTRICAS E HIDROSSANITÁRIAS</v>
          </cell>
          <cell r="I57">
            <v>39233.9</v>
          </cell>
          <cell r="K57">
            <v>37157.81</v>
          </cell>
        </row>
        <row r="58">
          <cell r="A58" t="str">
            <v>7.1</v>
          </cell>
          <cell r="B58" t="str">
            <v>15.036.0052-0</v>
          </cell>
          <cell r="C58" t="str">
            <v>15.036.0052-A</v>
          </cell>
          <cell r="D58" t="str">
            <v>EMOP</v>
          </cell>
          <cell r="E58" t="str">
            <v>TUBO DE PVC RIGIDO DE 100MM,SOLDAVEL,INCLUSIVE CONEXOES E EMENDAS,EXCLUSIVE ABERTURA E FECHAMENTO DE RASGO.FORNECIMENTOE ASSENTAMENTO</v>
          </cell>
          <cell r="F58" t="str">
            <v>M</v>
          </cell>
          <cell r="G58">
            <v>149</v>
          </cell>
          <cell r="H58">
            <v>36</v>
          </cell>
          <cell r="I58">
            <v>5364</v>
          </cell>
          <cell r="J58">
            <v>34.270000000000003</v>
          </cell>
          <cell r="K58">
            <v>5106.2299999999996</v>
          </cell>
        </row>
        <row r="59">
          <cell r="A59" t="str">
            <v>7.2</v>
          </cell>
          <cell r="B59">
            <v>103782</v>
          </cell>
          <cell r="C59">
            <v>103782</v>
          </cell>
          <cell r="D59" t="str">
            <v>SINAPI</v>
          </cell>
          <cell r="E59" t="str">
            <v>LUMINÁRIA TIPO PLAFON CIRCULAR, DE SOBREPOR, COM LED DE 12/13 W - FORNECIMENTO E INSTALAÇÃO. AF_09/2024</v>
          </cell>
          <cell r="F59" t="str">
            <v>UN</v>
          </cell>
          <cell r="G59">
            <v>15</v>
          </cell>
          <cell r="H59">
            <v>34.28</v>
          </cell>
          <cell r="I59">
            <v>514.20000000000005</v>
          </cell>
          <cell r="J59">
            <v>32.22</v>
          </cell>
          <cell r="K59">
            <v>483.3</v>
          </cell>
        </row>
        <row r="60">
          <cell r="A60" t="str">
            <v>7.3</v>
          </cell>
          <cell r="B60" t="str">
            <v>15.019.0020-0</v>
          </cell>
          <cell r="C60" t="str">
            <v>15.019.0020-A</v>
          </cell>
          <cell r="D60" t="str">
            <v>EMOP</v>
          </cell>
          <cell r="E60" t="str">
            <v>INTERRUPTOR DE EMBUTIR COM 1 TECLA SIMPLES FOSFORESCENTE E PLACA.FORNECIMENTO E COLOCACAO</v>
          </cell>
          <cell r="F60" t="str">
            <v>UN</v>
          </cell>
          <cell r="G60">
            <v>20</v>
          </cell>
          <cell r="H60">
            <v>10.15</v>
          </cell>
          <cell r="I60">
            <v>203</v>
          </cell>
          <cell r="J60">
            <v>9.57</v>
          </cell>
          <cell r="K60">
            <v>191.4</v>
          </cell>
        </row>
        <row r="61">
          <cell r="A61" t="str">
            <v>7.4</v>
          </cell>
          <cell r="B61" t="str">
            <v>15.019.0025-0</v>
          </cell>
          <cell r="C61" t="str">
            <v>15.019.0025-A</v>
          </cell>
          <cell r="D61" t="str">
            <v>EMOP</v>
          </cell>
          <cell r="E61" t="str">
            <v>INTERRUPTOR DE EMBUTIR COM 2 TECLAS SIMPLES FOSFORESCENTES EPLACA.FORNECIMENTO E COLOCACAO</v>
          </cell>
          <cell r="F61" t="str">
            <v>UN</v>
          </cell>
          <cell r="G61">
            <v>3</v>
          </cell>
          <cell r="H61">
            <v>16.350000000000001</v>
          </cell>
          <cell r="I61">
            <v>49.05</v>
          </cell>
          <cell r="J61">
            <v>15.64</v>
          </cell>
          <cell r="K61">
            <v>46.92</v>
          </cell>
        </row>
        <row r="62">
          <cell r="A62" t="str">
            <v>7.5</v>
          </cell>
          <cell r="B62" t="str">
            <v>15.019.0030-0</v>
          </cell>
          <cell r="C62" t="str">
            <v>15.019.0030-A</v>
          </cell>
          <cell r="D62" t="str">
            <v>EMOP</v>
          </cell>
          <cell r="E62" t="str">
            <v>INTERRUPTOR DE EMBUTIR COM 3 TECLAS SIMPLES FOSFORESCENTES EPLACA.FORNECIMENTO E COLOCACAO</v>
          </cell>
          <cell r="F62" t="str">
            <v>UN</v>
          </cell>
          <cell r="G62">
            <v>5</v>
          </cell>
          <cell r="H62">
            <v>21.39</v>
          </cell>
          <cell r="I62">
            <v>106.95</v>
          </cell>
          <cell r="J62">
            <v>20.53</v>
          </cell>
          <cell r="K62">
            <v>102.65</v>
          </cell>
        </row>
        <row r="63">
          <cell r="A63" t="str">
            <v>7.6</v>
          </cell>
          <cell r="B63" t="str">
            <v>15.019.0050-0</v>
          </cell>
          <cell r="C63" t="str">
            <v>15.019.0050-A</v>
          </cell>
          <cell r="D63" t="str">
            <v>EMOP</v>
          </cell>
          <cell r="E63" t="str">
            <v>TOMADA ELETRICA 2P+T,10A/250V,PADRAO BRASILEIRO,DE EMBUTIR,COM PLACA 4"X2".FORNECIMENTO E COLOCACAO.</v>
          </cell>
          <cell r="F63" t="str">
            <v>UN</v>
          </cell>
          <cell r="G63">
            <v>135</v>
          </cell>
          <cell r="H63">
            <v>9.8000000000000007</v>
          </cell>
          <cell r="I63">
            <v>1323</v>
          </cell>
          <cell r="J63">
            <v>9.2200000000000006</v>
          </cell>
          <cell r="K63">
            <v>1244.7</v>
          </cell>
        </row>
        <row r="64">
          <cell r="A64" t="str">
            <v>7.7</v>
          </cell>
          <cell r="B64" t="str">
            <v>15.007.0570-0</v>
          </cell>
          <cell r="C64" t="str">
            <v>15.007.0570-A</v>
          </cell>
          <cell r="D64" t="str">
            <v>EMOP</v>
          </cell>
          <cell r="E64" t="str">
            <v>DISJUNTOR TERMOMAGNETICO,MONOPOLAR,DE 10 A 32A,3KA,MODELO DIN,TIPO C.FORNECIMENTO E COLOCACAO</v>
          </cell>
          <cell r="F64" t="str">
            <v>UN</v>
          </cell>
          <cell r="G64">
            <v>31</v>
          </cell>
          <cell r="H64">
            <v>14.18</v>
          </cell>
          <cell r="I64">
            <v>439.58</v>
          </cell>
          <cell r="J64">
            <v>13.56</v>
          </cell>
          <cell r="K64">
            <v>420.36</v>
          </cell>
        </row>
        <row r="65">
          <cell r="A65" t="str">
            <v>7.8</v>
          </cell>
          <cell r="B65" t="str">
            <v>15.007.0576-0</v>
          </cell>
          <cell r="C65" t="str">
            <v>15.007.0576-A</v>
          </cell>
          <cell r="D65" t="str">
            <v>EMOP</v>
          </cell>
          <cell r="E65" t="str">
            <v>DISJUNTOR TERMOMAGNETICO,BIPOLAR,DE 40 A 63A,3KA,MODELO DIN,TIPO C.FORNECIMENTO E COLOCACAO</v>
          </cell>
          <cell r="F65" t="str">
            <v>UN</v>
          </cell>
          <cell r="G65">
            <v>4</v>
          </cell>
          <cell r="H65">
            <v>35.47</v>
          </cell>
          <cell r="I65">
            <v>141.88</v>
          </cell>
          <cell r="J65">
            <v>34.79</v>
          </cell>
          <cell r="K65">
            <v>139.16</v>
          </cell>
        </row>
        <row r="66">
          <cell r="A66" t="str">
            <v>7.9</v>
          </cell>
          <cell r="B66" t="str">
            <v>15.007.0605-0</v>
          </cell>
          <cell r="C66" t="str">
            <v>15.007.0605-A</v>
          </cell>
          <cell r="D66" t="str">
            <v>EMOP</v>
          </cell>
          <cell r="E66" t="str">
            <v>DISJUNTOR TERMOMAGNETICO,TRIPOLAR,DE 80 A 100A,3KA,MODELO DIN,TIPO C.FORNECIMENTO E COLOCACAO</v>
          </cell>
          <cell r="F66" t="str">
            <v>UN</v>
          </cell>
          <cell r="G66">
            <v>1</v>
          </cell>
          <cell r="H66">
            <v>141.43</v>
          </cell>
          <cell r="I66">
            <v>141.43</v>
          </cell>
          <cell r="J66">
            <v>140.68</v>
          </cell>
          <cell r="K66">
            <v>140.68</v>
          </cell>
        </row>
        <row r="67">
          <cell r="A67" t="str">
            <v>7.10</v>
          </cell>
          <cell r="B67" t="str">
            <v>15.007.0608-0</v>
          </cell>
          <cell r="C67" t="str">
            <v>15.007.0608-A</v>
          </cell>
          <cell r="D67" t="str">
            <v>EMOP</v>
          </cell>
          <cell r="E67" t="str">
            <v>DISJUNTOR TERMOMAGNETICO,TRIPOLAR,DE 125 A 160A,50KA,MODELOCAIXA MOLDADA,TIPO C.FORNECIMENTO E COLOCACAO</v>
          </cell>
          <cell r="F67" t="str">
            <v>UN</v>
          </cell>
          <cell r="G67">
            <v>2</v>
          </cell>
          <cell r="H67">
            <v>360.72</v>
          </cell>
          <cell r="I67">
            <v>721.44</v>
          </cell>
          <cell r="J67">
            <v>359.97</v>
          </cell>
          <cell r="K67">
            <v>719.94</v>
          </cell>
        </row>
        <row r="68">
          <cell r="A68" t="str">
            <v>7.11</v>
          </cell>
          <cell r="B68">
            <v>101880</v>
          </cell>
          <cell r="C68">
            <v>101880</v>
          </cell>
          <cell r="D68" t="str">
            <v>SINAPI</v>
          </cell>
          <cell r="E68" t="str">
            <v>QUADRO DE DISTRIBUIÇÃO DE ENERGIA EM CHAPA DE AÇO GALVANIZADO, DE EMBUTIR, COM BARRAMENTO TRIFÁSICO, PARA 30 DISJUNTORES DIN 150A - FORNECIMENTO E INSTALAÇÃO. AF_10/2020</v>
          </cell>
          <cell r="F68" t="str">
            <v>UN</v>
          </cell>
          <cell r="G68">
            <v>1</v>
          </cell>
          <cell r="H68">
            <v>641.52</v>
          </cell>
          <cell r="I68">
            <v>641.52</v>
          </cell>
          <cell r="J68">
            <v>637.15</v>
          </cell>
          <cell r="K68">
            <v>637.15</v>
          </cell>
        </row>
        <row r="69">
          <cell r="A69" t="str">
            <v>7.12</v>
          </cell>
          <cell r="B69">
            <v>101879</v>
          </cell>
          <cell r="C69">
            <v>101879</v>
          </cell>
          <cell r="D69" t="str">
            <v>SINAPI</v>
          </cell>
          <cell r="E69" t="str">
            <v>QUADRO DE DISTRIBUIÇÃO DE ENERGIA EM CHAPA DE AÇO GALVANIZADO, DE EMBUTIR, COM BARRAMENTO TRIFÁSICO, PARA 24 DISJUNTORES DIN 100A - FORNECIMENTO E INSTALAÇÃO. AF_10/2020</v>
          </cell>
          <cell r="F69" t="str">
            <v>UN</v>
          </cell>
          <cell r="G69">
            <v>1</v>
          </cell>
          <cell r="H69">
            <v>556.14</v>
          </cell>
          <cell r="I69">
            <v>556.14</v>
          </cell>
          <cell r="J69">
            <v>552.51</v>
          </cell>
          <cell r="K69">
            <v>552.51</v>
          </cell>
        </row>
        <row r="70">
          <cell r="A70" t="str">
            <v>7.13</v>
          </cell>
          <cell r="B70" t="str">
            <v>15.019.0090-0</v>
          </cell>
          <cell r="C70" t="str">
            <v>15.019.0090-A</v>
          </cell>
          <cell r="D70" t="str">
            <v>EMOP</v>
          </cell>
          <cell r="E70" t="str">
            <v>TOMADA TIPO RJ45,DE SOBREPOR,COMPLETA,PARA LOGICA.FORNECIMENTO E COLOCACAO</v>
          </cell>
          <cell r="F70" t="str">
            <v>UN</v>
          </cell>
          <cell r="G70">
            <v>1</v>
          </cell>
          <cell r="H70">
            <v>30.95</v>
          </cell>
          <cell r="I70">
            <v>30.95</v>
          </cell>
          <cell r="J70">
            <v>30.37</v>
          </cell>
          <cell r="K70">
            <v>30.37</v>
          </cell>
        </row>
        <row r="71">
          <cell r="A71" t="str">
            <v>7.14</v>
          </cell>
          <cell r="B71" t="str">
            <v>15.019.0110-0</v>
          </cell>
          <cell r="C71" t="str">
            <v>15.019.0110-A</v>
          </cell>
          <cell r="D71" t="str">
            <v>EMOP</v>
          </cell>
          <cell r="E71" t="str">
            <v>TOMADA COAXIAL,DE EMBUTIR,COMPLETA,PARA ANTENA DE TV.FORNECIMENTO E COLOCACAO</v>
          </cell>
          <cell r="F71" t="str">
            <v>UN</v>
          </cell>
          <cell r="G71">
            <v>1</v>
          </cell>
          <cell r="H71">
            <v>13.89</v>
          </cell>
          <cell r="I71">
            <v>13.89</v>
          </cell>
          <cell r="J71">
            <v>13.31</v>
          </cell>
          <cell r="K71">
            <v>13.31</v>
          </cell>
        </row>
        <row r="72">
          <cell r="A72" t="str">
            <v>7.15</v>
          </cell>
          <cell r="B72" t="str">
            <v>15.020.0158-0</v>
          </cell>
          <cell r="C72" t="str">
            <v>15.020.0158-A</v>
          </cell>
          <cell r="D72" t="str">
            <v>EMOP</v>
          </cell>
          <cell r="E72" t="str">
            <v>LAMPADA LED,BULBO,A60,10,5W,100/240V,BASE E-27.FORNECIMENTOE COLOCACAO</v>
          </cell>
          <cell r="F72" t="str">
            <v>UN</v>
          </cell>
          <cell r="G72">
            <v>4</v>
          </cell>
          <cell r="H72">
            <v>11.42</v>
          </cell>
          <cell r="I72">
            <v>45.68</v>
          </cell>
          <cell r="J72">
            <v>11.28</v>
          </cell>
          <cell r="K72">
            <v>45.12</v>
          </cell>
        </row>
        <row r="73">
          <cell r="A73" t="str">
            <v>7.16</v>
          </cell>
          <cell r="B73" t="str">
            <v>15.003.0405-0</v>
          </cell>
          <cell r="C73" t="str">
            <v>15.003.0405-A</v>
          </cell>
          <cell r="D73" t="str">
            <v>EMOP</v>
          </cell>
          <cell r="E73" t="str">
            <v>ASSENTAMENTO DE BACIA SANITARIA (EXCLUSIVE FORNECIMENTO DO APARELHO),INCLUSIVE MATERIAIS NECESSARIOS</v>
          </cell>
          <cell r="F73" t="str">
            <v>UN</v>
          </cell>
          <cell r="G73">
            <v>10</v>
          </cell>
          <cell r="H73">
            <v>62.34</v>
          </cell>
          <cell r="I73">
            <v>623.4</v>
          </cell>
          <cell r="J73">
            <v>57.39</v>
          </cell>
          <cell r="K73">
            <v>573.9</v>
          </cell>
        </row>
        <row r="74">
          <cell r="A74" t="str">
            <v>7.17</v>
          </cell>
          <cell r="B74" t="str">
            <v>15.004.0070-0</v>
          </cell>
          <cell r="C74" t="str">
            <v>15.004.0070-A</v>
          </cell>
          <cell r="D74" t="str">
            <v>EMOP</v>
          </cell>
          <cell r="E74" t="str">
            <v>INSTALACAO E ASSENTAMENTO DE TANQUE DE SERVICO (EXCLUSIVE FORNECIMENTO DO APARELHO),COMPREENDENDO:3,00M DE TUBO DE PVC DE 25MM,3,00M DE TUBO DE PVC DE 50MM E CONEXOES</v>
          </cell>
          <cell r="F74" t="str">
            <v>UN</v>
          </cell>
          <cell r="G74">
            <v>1</v>
          </cell>
          <cell r="H74">
            <v>307.64999999999998</v>
          </cell>
          <cell r="I74">
            <v>307.64999999999998</v>
          </cell>
          <cell r="J74">
            <v>283.27999999999997</v>
          </cell>
          <cell r="K74">
            <v>283.27999999999997</v>
          </cell>
        </row>
        <row r="75">
          <cell r="A75" t="str">
            <v>7.18</v>
          </cell>
          <cell r="B75" t="str">
            <v>15.003.0360-0</v>
          </cell>
          <cell r="C75" t="str">
            <v>15.003.0360-A</v>
          </cell>
          <cell r="D75" t="str">
            <v>EMOP</v>
          </cell>
          <cell r="E75" t="str">
            <v>ASSENTAMENTO DE LAVATORIO(EXCLUSIVE FORNECIMENTO DO APARELHO),INCLUSIVE MATERIAIS NECESSARIOS</v>
          </cell>
          <cell r="F75" t="str">
            <v>UN</v>
          </cell>
          <cell r="G75">
            <v>6</v>
          </cell>
          <cell r="H75">
            <v>97.24</v>
          </cell>
          <cell r="I75">
            <v>583.44000000000005</v>
          </cell>
          <cell r="J75">
            <v>88.62</v>
          </cell>
          <cell r="K75">
            <v>531.72</v>
          </cell>
        </row>
        <row r="76">
          <cell r="A76" t="str">
            <v>7.19</v>
          </cell>
          <cell r="B76" t="str">
            <v>15.005.0215-0</v>
          </cell>
          <cell r="C76" t="str">
            <v>15.005.0215-A</v>
          </cell>
          <cell r="D76" t="str">
            <v>EMOP</v>
          </cell>
          <cell r="E76" t="str">
            <v>ASSENTAMENTO DE AR-CONDICIONADO SPLIT DE 9000 A 30000 BTU/H,COM 1 CONDENSADOR E 1 EVAPORADOR,CONFORME ABNT NBR 16655,(VIDE FORNECIMENTO DO APARELHO NA FAMILIA 18.030) INCLUSIVE ACESSORIOS DE FIXACAO,EXCLUSIVE ALIMENTACAO ELETRICA E INTERLIGACAO CONDENSADOR/EVAPORADOR (VIDE ITEM 15.005.0240)</v>
          </cell>
          <cell r="F76" t="str">
            <v>UN</v>
          </cell>
          <cell r="G76">
            <v>1</v>
          </cell>
          <cell r="H76">
            <v>333.05</v>
          </cell>
          <cell r="I76">
            <v>333.05</v>
          </cell>
          <cell r="J76">
            <v>313.8</v>
          </cell>
          <cell r="K76">
            <v>313.8</v>
          </cell>
        </row>
        <row r="77">
          <cell r="A77" t="str">
            <v>7.20</v>
          </cell>
          <cell r="B77" t="str">
            <v>15.005.0215-0</v>
          </cell>
          <cell r="C77" t="str">
            <v>15.005.0215-A</v>
          </cell>
          <cell r="D77" t="str">
            <v>EMOP</v>
          </cell>
          <cell r="E77" t="str">
            <v>ASSENTAMENTO DE AR-CONDICIONADO SPLIT DE 9000 A 30000 BTU/H,COM 1 CONDENSADOR E 1 EVAPORADOR,CONFORME ABNT NBR 16655,(VIDE FORNECIMENTO DO APARELHO NA FAMILIA 18.030) INCLUSIVE ACESSORIOS DE FIXACAO,EXCLUSIVE ALIMENTACAO ELETRICA E INTERLIGACAO CONDENSADOR/EVAPORADOR (VIDE ITEM 15.005.0240)</v>
          </cell>
          <cell r="F77" t="str">
            <v>UN</v>
          </cell>
          <cell r="G77">
            <v>2</v>
          </cell>
          <cell r="H77">
            <v>333.05</v>
          </cell>
          <cell r="I77">
            <v>666.1</v>
          </cell>
          <cell r="J77">
            <v>313.8</v>
          </cell>
          <cell r="K77">
            <v>627.6</v>
          </cell>
        </row>
        <row r="78">
          <cell r="A78" t="str">
            <v>7.21</v>
          </cell>
          <cell r="B78" t="str">
            <v>15.005.0215-0</v>
          </cell>
          <cell r="C78" t="str">
            <v>15.005.0215-A</v>
          </cell>
          <cell r="D78" t="str">
            <v>EMOP</v>
          </cell>
          <cell r="E78" t="str">
            <v>ASSENTAMENTO DE AR-CONDICIONADO SPLIT DE 9000 A 30000 BTU/H,COM 1 CONDENSADOR E 1 EVAPORADOR,CONFORME ABNT NBR 16655,(VIDE FORNECIMENTO DO APARELHO NA FAMILIA 18.030) INCLUSIVE ACESSORIOS DE FIXACAO,EXCLUSIVE ALIMENTACAO ELETRICA E INTERLIGACAO CONDENSADOR/EVAPORADOR (VIDE ITEM 15.005.0240)</v>
          </cell>
          <cell r="F78" t="str">
            <v>UN</v>
          </cell>
          <cell r="G78">
            <v>2</v>
          </cell>
          <cell r="H78">
            <v>333.05</v>
          </cell>
          <cell r="I78">
            <v>666.1</v>
          </cell>
          <cell r="J78">
            <v>313.8</v>
          </cell>
          <cell r="K78">
            <v>627.6</v>
          </cell>
        </row>
        <row r="79">
          <cell r="A79" t="str">
            <v>7.22</v>
          </cell>
          <cell r="B79" t="str">
            <v>15.005.0215-0</v>
          </cell>
          <cell r="C79" t="str">
            <v>15.005.0215-A</v>
          </cell>
          <cell r="D79" t="str">
            <v>EMOP</v>
          </cell>
          <cell r="E79" t="str">
            <v>ASSENTAMENTO DE AR-CONDICIONADO SPLIT DE 9000 A 30000 BTU/H,COM 1 CONDENSADOR E 1 EVAPORADOR,CONFORME ABNT NBR 16655,(VIDE FORNECIMENTO DO APARELHO NA FAMILIA 18.030) INCLUSIVE ACESSORIOS DE FIXACAO,EXCLUSIVE ALIMENTACAO ELETRICA E INTERLIGACAO CONDENSADOR/EVAPORADOR (VIDE ITEM 15.005.0240)</v>
          </cell>
          <cell r="F79" t="str">
            <v>UN</v>
          </cell>
          <cell r="G79">
            <v>3</v>
          </cell>
          <cell r="H79">
            <v>333.05</v>
          </cell>
          <cell r="I79">
            <v>999.15</v>
          </cell>
          <cell r="J79">
            <v>313.8</v>
          </cell>
          <cell r="K79">
            <v>941.4</v>
          </cell>
        </row>
        <row r="80">
          <cell r="A80" t="str">
            <v>7.23</v>
          </cell>
          <cell r="B80" t="str">
            <v>15.005.0215-0</v>
          </cell>
          <cell r="C80" t="str">
            <v>15.005.0215-A</v>
          </cell>
          <cell r="D80" t="str">
            <v>EMOP</v>
          </cell>
          <cell r="E80" t="str">
            <v>ASSENTAMENTO DE AR-CONDICIONADO SPLIT DE 9000 A 30000 BTU/H,COM 1 CONDENSADOR E 1 EVAPORADOR,CONFORME ABNT NBR 16655,(VIDE FORNECIMENTO DO APARELHO NA FAMILIA 18.030) INCLUSIVE ACESSORIOS DE FIXACAO,EXCLUSIVE ALIMENTACAO ELETRICA E INTERLIGACAO CONDENSADOR/EVAPORADOR (VIDE ITEM 15.005.0240)</v>
          </cell>
          <cell r="F80" t="str">
            <v>UN</v>
          </cell>
          <cell r="G80">
            <v>3</v>
          </cell>
          <cell r="H80">
            <v>333.05</v>
          </cell>
          <cell r="I80">
            <v>999.15</v>
          </cell>
          <cell r="J80">
            <v>313.8</v>
          </cell>
          <cell r="K80">
            <v>941.4</v>
          </cell>
        </row>
        <row r="81">
          <cell r="A81" t="str">
            <v>7.24</v>
          </cell>
          <cell r="B81" t="str">
            <v>15.005.0220-0</v>
          </cell>
          <cell r="C81" t="str">
            <v>15.005.0220-A</v>
          </cell>
          <cell r="D81" t="str">
            <v>EMOP</v>
          </cell>
          <cell r="E81" t="str">
            <v>ASSENTAMENTO DE AR-CONDICIONADO SPLIT DE 36000 A 60000 BTU/H,COM 1 CONDENSADOR E 1 EVAPORADOR,CONFORME ABNT NBR 16655,(VIDE FORNECIMENTO DO APARELHO NA FAMILIA 18.030) INCLUSIVE ACESSORIOS DE FIXACAO,EXCLUSIVE ALIMENTACAO ELETRICA E INTERLIGACAO CONDENSADOR/EVAPORADOR (VIDE ITEM 15.005.0245)</v>
          </cell>
          <cell r="F81" t="str">
            <v>UN</v>
          </cell>
          <cell r="G81">
            <v>1</v>
          </cell>
          <cell r="H81">
            <v>558.51</v>
          </cell>
          <cell r="I81">
            <v>558.51</v>
          </cell>
          <cell r="J81">
            <v>529.52</v>
          </cell>
          <cell r="K81">
            <v>529.52</v>
          </cell>
        </row>
        <row r="82">
          <cell r="A82" t="str">
            <v>7.25</v>
          </cell>
          <cell r="B82" t="str">
            <v>15.005.0220-0</v>
          </cell>
          <cell r="C82" t="str">
            <v>15.005.0220-A</v>
          </cell>
          <cell r="D82" t="str">
            <v>EMOP</v>
          </cell>
          <cell r="E82" t="str">
            <v>ASSENTAMENTO DE AR-CONDICIONADO SPLIT DE 36000 A 60000 BTU/H,COM 1 CONDENSADOR E 1 EVAPORADOR,CONFORME ABNT NBR 16655,(VIDE FORNECIMENTO DO APARELHO NA FAMILIA 18.030) INCLUSIVE ACESSORIOS DE FIXACAO,EXCLUSIVE ALIMENTACAO ELETRICA E INTERLIGACAO CONDENSADOR/EVAPORADOR (VIDE ITEM 15.005.0245)</v>
          </cell>
          <cell r="F82" t="str">
            <v>UN</v>
          </cell>
          <cell r="G82">
            <v>2</v>
          </cell>
          <cell r="H82">
            <v>558.51</v>
          </cell>
          <cell r="I82">
            <v>1117.02</v>
          </cell>
          <cell r="J82">
            <v>529.52</v>
          </cell>
          <cell r="K82">
            <v>1059.04</v>
          </cell>
        </row>
        <row r="83">
          <cell r="A83" t="str">
            <v>7.26</v>
          </cell>
          <cell r="B83" t="str">
            <v>15.005.0240-0</v>
          </cell>
          <cell r="C83" t="str">
            <v>15.005.0240-A</v>
          </cell>
          <cell r="D83" t="str">
            <v>EMOP</v>
          </cell>
          <cell r="E83" t="str">
            <v>TUBULACAO EM COBRE PARA INTERLIGACAO DE AR-CONDICIONADO SPLIT CONDENSADOR/EVAPORADOR,CONFORME ABNT NBR 16655,INCLUSIVE ISOLAMENTO TERMICO,INTERLIGACAO ELETRICA,CONEXOES E FIXACAO,PARA APARELHOS DE 9000 A 30000 BTU/H.FORNECIMENTO E INSTALACAO</v>
          </cell>
          <cell r="F83" t="str">
            <v>M</v>
          </cell>
          <cell r="G83">
            <v>70</v>
          </cell>
          <cell r="H83">
            <v>91.8</v>
          </cell>
          <cell r="I83">
            <v>6426</v>
          </cell>
          <cell r="J83">
            <v>86.93</v>
          </cell>
          <cell r="K83">
            <v>6085.1</v>
          </cell>
        </row>
        <row r="84">
          <cell r="A84" t="str">
            <v>7.27</v>
          </cell>
          <cell r="B84" t="str">
            <v>15.015.0171-0</v>
          </cell>
          <cell r="C84" t="str">
            <v>15.015.0171-A</v>
          </cell>
          <cell r="D84" t="str">
            <v>EMOP</v>
          </cell>
          <cell r="E84" t="str">
            <v>INSTALACAO DE PONTO DE FORCA ATE 2CV,EQUIVALENTE A 2 VARAS DE ELETRODUTO DE PVC RIGIDO DE 1/2",20,00M DE FIO 2,5MM2,CAIXAS E CONEXOES</v>
          </cell>
          <cell r="F84" t="str">
            <v>UN</v>
          </cell>
          <cell r="G84">
            <v>3</v>
          </cell>
          <cell r="H84">
            <v>507.98</v>
          </cell>
          <cell r="I84">
            <v>1523.94</v>
          </cell>
          <cell r="J84">
            <v>463.4</v>
          </cell>
          <cell r="K84">
            <v>1390.2</v>
          </cell>
        </row>
        <row r="85">
          <cell r="A85" t="str">
            <v>7.28</v>
          </cell>
          <cell r="B85" t="str">
            <v>15.015.0173-0</v>
          </cell>
          <cell r="C85" t="str">
            <v>15.015.0173-A</v>
          </cell>
          <cell r="D85" t="str">
            <v>EMOP</v>
          </cell>
          <cell r="E85" t="str">
            <v>INSTALACAO DE PONTO DE FORCA ATE 4CV,EQUIVALENTE A 2 VARAS DE ELETRODUTO DE PVC RIGIDO DE 3/4",20,00M DE FIO 4MM2,CAIXASE CONEXOES</v>
          </cell>
          <cell r="F85" t="str">
            <v>UN</v>
          </cell>
          <cell r="G85">
            <v>5</v>
          </cell>
          <cell r="H85">
            <v>588.12</v>
          </cell>
          <cell r="I85">
            <v>2940.6</v>
          </cell>
          <cell r="J85">
            <v>538.58000000000004</v>
          </cell>
          <cell r="K85">
            <v>2692.9</v>
          </cell>
        </row>
        <row r="86">
          <cell r="A86" t="str">
            <v>7.29</v>
          </cell>
          <cell r="B86" t="str">
            <v>15.015.0175-0</v>
          </cell>
          <cell r="C86" t="str">
            <v>15.015.0175-A</v>
          </cell>
          <cell r="D86" t="str">
            <v>EMOP</v>
          </cell>
          <cell r="E86" t="str">
            <v>INSTALACAO DE PONTO DE FORCA PARA 5CV,EQUIVALENTE A 2 VARASDE ELETRODUTO DE PVC RIGIDO DE 3/4",20,00M DE FIO 4MM2,CAIXAS E CONEXOES</v>
          </cell>
          <cell r="F86" t="str">
            <v>UN</v>
          </cell>
          <cell r="G86">
            <v>4</v>
          </cell>
          <cell r="H86">
            <v>687.23</v>
          </cell>
          <cell r="I86">
            <v>2748.92</v>
          </cell>
          <cell r="J86">
            <v>627.78</v>
          </cell>
          <cell r="K86">
            <v>2511.12</v>
          </cell>
        </row>
        <row r="87">
          <cell r="A87" t="str">
            <v>7.30</v>
          </cell>
          <cell r="B87" t="str">
            <v>15.015.0177-0</v>
          </cell>
          <cell r="C87" t="str">
            <v>15.015.0177-A</v>
          </cell>
          <cell r="D87" t="str">
            <v>EMOP</v>
          </cell>
          <cell r="E87" t="str">
            <v>INSTALACAO DE PONTO DE FORCA PARA 10CV,EQUIVALENTE A 2 VARASDE ELETRODUTO DE PVC RIGIDO DE 1",20,00M DE FIO 6MM2,CAIXASE CONEXOES</v>
          </cell>
          <cell r="F87" t="str">
            <v>UN</v>
          </cell>
          <cell r="G87">
            <v>2</v>
          </cell>
          <cell r="H87">
            <v>881.1</v>
          </cell>
          <cell r="I87">
            <v>1762.2</v>
          </cell>
          <cell r="J87">
            <v>806.78</v>
          </cell>
          <cell r="K87">
            <v>1613.56</v>
          </cell>
        </row>
        <row r="88">
          <cell r="A88" t="str">
            <v>7.31</v>
          </cell>
          <cell r="B88" t="str">
            <v>15.007.0575-0</v>
          </cell>
          <cell r="C88" t="str">
            <v>15.007.0575-A</v>
          </cell>
          <cell r="D88" t="str">
            <v>EMOP</v>
          </cell>
          <cell r="E88" t="str">
            <v>DISJUNTOR TERMOMAGNETICO,BIPOLAR,DE 10 A 32A,3KA,MODELO DIN,TIPO C.FORNECIMENTO E COLOCACAO</v>
          </cell>
          <cell r="F88" t="str">
            <v>UN</v>
          </cell>
          <cell r="G88">
            <v>14</v>
          </cell>
          <cell r="H88">
            <v>34.42</v>
          </cell>
          <cell r="I88">
            <v>481.88</v>
          </cell>
          <cell r="J88">
            <v>33.74</v>
          </cell>
          <cell r="K88">
            <v>472.36</v>
          </cell>
        </row>
        <row r="89">
          <cell r="A89" t="str">
            <v>7.32</v>
          </cell>
          <cell r="B89" t="str">
            <v>15.011.0095-0</v>
          </cell>
          <cell r="C89" t="str">
            <v>15.011.0095-A</v>
          </cell>
          <cell r="D89" t="str">
            <v>EMOP</v>
          </cell>
          <cell r="E89" t="str">
            <v>ENTRADA DE ENERGIA INDIVIDUAL,PADRAO LIGHT,MEDICAO DIRETA,REDE SUBTERRANEA,38KVA E 76KVA,INCLUSIVE CAIXA SECCIONADORA EMEDICAO (CSM200),CAIXA POLIMERICA DE PROTECAO GERAL (CPG200-P) INTERNA,CAIXA INSPECAO,3 HASTES E CONECTORES DE ATERRAMENTO E DEMAIS MATERIAIS NECESSARIOS,EXCLUSIVE DISJUNTOR E CONDUTORES (ENTRADA,SAIDA,ATERRAMENTO E RESPECTIVOS CONECTORES)</v>
          </cell>
          <cell r="F89" t="str">
            <v>UN</v>
          </cell>
          <cell r="G89">
            <v>1</v>
          </cell>
          <cell r="H89">
            <v>1715.18</v>
          </cell>
          <cell r="I89">
            <v>1715.18</v>
          </cell>
          <cell r="J89">
            <v>1696.81</v>
          </cell>
          <cell r="K89">
            <v>1696.81</v>
          </cell>
        </row>
        <row r="90">
          <cell r="A90" t="str">
            <v>7.33</v>
          </cell>
          <cell r="B90" t="str">
            <v>15.008.0112-0</v>
          </cell>
          <cell r="C90" t="str">
            <v>15.008.0112-A</v>
          </cell>
          <cell r="D90" t="str">
            <v>EMOP</v>
          </cell>
          <cell r="E90" t="str">
            <v>CABO DE COBRE FLEXIVEL COM ISOLAMENTO TERMOPLASTICO,COMPREENDENDO:PREPARO,CORTE E ENFIACAO EM ELETRODUTOS,NA BITOLA DE 35MM2, 450/750V.FORNECIMENTO E COLOCACAO</v>
          </cell>
          <cell r="F90" t="str">
            <v>M</v>
          </cell>
          <cell r="G90">
            <v>130</v>
          </cell>
          <cell r="H90">
            <v>34.53</v>
          </cell>
          <cell r="I90">
            <v>4488.8999999999996</v>
          </cell>
          <cell r="J90">
            <v>33.79</v>
          </cell>
          <cell r="K90">
            <v>4392.7</v>
          </cell>
        </row>
        <row r="91">
          <cell r="A91">
            <v>8</v>
          </cell>
          <cell r="B91" t="str">
            <v>COBERTURA</v>
          </cell>
          <cell r="I91">
            <v>146002.28</v>
          </cell>
          <cell r="K91">
            <v>135466.79999999999</v>
          </cell>
        </row>
        <row r="92">
          <cell r="A92" t="str">
            <v>8.1</v>
          </cell>
          <cell r="B92" t="str">
            <v>16.007.0027-0</v>
          </cell>
          <cell r="C92" t="str">
            <v>16.007.0027-A</v>
          </cell>
          <cell r="D92" t="str">
            <v>EMOP</v>
          </cell>
          <cell r="E92" t="str">
            <v>CALHA EM CHAPA DE ACO GALVANIZADO N°26 COM 50CM DE DESENVOLVIMENTO.FORNECIMENTO E COLOCACAO</v>
          </cell>
          <cell r="F92" t="str">
            <v>M</v>
          </cell>
          <cell r="G92">
            <v>146.80000000000001</v>
          </cell>
          <cell r="H92">
            <v>130.38</v>
          </cell>
          <cell r="I92">
            <v>19139.78</v>
          </cell>
          <cell r="J92">
            <v>122.66</v>
          </cell>
          <cell r="K92">
            <v>18006.48</v>
          </cell>
        </row>
        <row r="93">
          <cell r="A93" t="str">
            <v>8.2</v>
          </cell>
          <cell r="B93" t="str">
            <v>16.005.0027-0</v>
          </cell>
          <cell r="C93" t="str">
            <v>16.005.0027-A</v>
          </cell>
          <cell r="D93" t="str">
            <v>EMOP</v>
          </cell>
          <cell r="E93" t="str">
            <v>RUFO DE GALVALUME COM MEDIDAS APROXIMADAS DE (0,7X500)MM.FORNECIMENTO E COLOCACAO</v>
          </cell>
          <cell r="F93" t="str">
            <v>M</v>
          </cell>
          <cell r="G93">
            <v>21.91</v>
          </cell>
          <cell r="H93">
            <v>147.94999999999999</v>
          </cell>
          <cell r="I93">
            <v>3241.58</v>
          </cell>
          <cell r="J93">
            <v>141.33000000000001</v>
          </cell>
          <cell r="K93">
            <v>3096.54</v>
          </cell>
        </row>
        <row r="94">
          <cell r="A94" t="str">
            <v>8.3</v>
          </cell>
          <cell r="B94" t="str">
            <v>16.015.0001-0</v>
          </cell>
          <cell r="C94" t="str">
            <v>16.015.0001-A</v>
          </cell>
          <cell r="D94" t="str">
            <v>EMOP</v>
          </cell>
          <cell r="E94" t="str">
            <v>SUBCOBERTURA COMPOSTA DE DUAS FOLHAS DE ALUMINIO ESTRUTURADOE UMA FOLHA DE POLIETILENO ALTA DENSIDADE TRANCADO,COM ESPESSURA APROXIMADA ENTRE 0,15MM E 0,17MM,INCLUSIVE MADEIRAMENTO DE FIXACAO.FORNECIMENTO E COLOCACAO</v>
          </cell>
          <cell r="F94" t="str">
            <v>M2</v>
          </cell>
          <cell r="G94">
            <v>432.69799999999998</v>
          </cell>
          <cell r="H94">
            <v>25.2</v>
          </cell>
          <cell r="I94">
            <v>10903.98</v>
          </cell>
          <cell r="J94">
            <v>24.21</v>
          </cell>
          <cell r="K94">
            <v>10475.61</v>
          </cell>
        </row>
        <row r="95">
          <cell r="A95" t="str">
            <v>8.4</v>
          </cell>
          <cell r="B95" t="str">
            <v>16.013.0001-0</v>
          </cell>
          <cell r="C95" t="str">
            <v>16.013.0001-A</v>
          </cell>
          <cell r="D95" t="str">
            <v>EMOP</v>
          </cell>
          <cell r="E95" t="str">
            <v>RETIRADA E RECOLOCACAO DE TELHAS FRANCESAS,INCLUSIVE CUMEEIRA,EXCLUSIVE O FORNECIMENTO DO MATERIAL NOVO,MEDIDAS PELA AREA REAL DE COBERTURA</v>
          </cell>
          <cell r="F95" t="str">
            <v>M2</v>
          </cell>
          <cell r="G95">
            <v>432.69799999999998</v>
          </cell>
          <cell r="H95">
            <v>68.42</v>
          </cell>
          <cell r="I95">
            <v>29605.19</v>
          </cell>
          <cell r="J95">
            <v>61.58</v>
          </cell>
          <cell r="K95">
            <v>26645.54</v>
          </cell>
        </row>
        <row r="96">
          <cell r="A96" t="str">
            <v>8.5</v>
          </cell>
          <cell r="B96" t="str">
            <v>16.013.0015-0</v>
          </cell>
          <cell r="C96" t="str">
            <v>16.013.0015-A</v>
          </cell>
          <cell r="D96" t="str">
            <v>EMOP</v>
          </cell>
          <cell r="E96" t="str">
            <v>RETIRADA E RECOLOCACAO DE MADEIRAMENTO TELHAS FRANCESAS OU COLONIAIS,ONDULADAS,EXCLUSIVE FORNECIMENTO DO MATERIAL.MEDIDAS PELA AREA REAL DA COBERTURA</v>
          </cell>
          <cell r="F96" t="str">
            <v>M2</v>
          </cell>
          <cell r="G96">
            <v>432.69799999999998</v>
          </cell>
          <cell r="H96">
            <v>89.19</v>
          </cell>
          <cell r="I96">
            <v>38592.33</v>
          </cell>
          <cell r="J96">
            <v>80.27</v>
          </cell>
          <cell r="K96">
            <v>34732.660000000003</v>
          </cell>
        </row>
        <row r="97">
          <cell r="A97" t="str">
            <v>8.6</v>
          </cell>
          <cell r="B97" t="str">
            <v>16.001.0055-0</v>
          </cell>
          <cell r="C97" t="str">
            <v>16.001.0055-A</v>
          </cell>
          <cell r="D97" t="str">
            <v>EMOP</v>
          </cell>
          <cell r="E97" t="str">
            <v>MADEIRAMENTO PARA COBERTURA EM QUATRO OU MAIS AGUAS EM TELHAS CERAMICAS,CONSTITUIDO DE CUMEEIRA,TERCAS,RINCOES E ESPIGOES DE 3"X4.1/2",CAIBROS DE 3"X1.1/2",RIPAS DE 1,5X4CM,TUDO EMMADEIRA SERRADA,SEM TESOURA OU PONTALETE,MEDIDO PELA AREA REAL DO MADEIRAMENTO.FORNECIMENTO E COLOCACAO</v>
          </cell>
          <cell r="F97" t="str">
            <v>M2</v>
          </cell>
          <cell r="G97">
            <v>173.07920000000001</v>
          </cell>
          <cell r="H97">
            <v>123.03</v>
          </cell>
          <cell r="I97">
            <v>21293.93</v>
          </cell>
          <cell r="J97">
            <v>116.84</v>
          </cell>
          <cell r="K97">
            <v>20222.57</v>
          </cell>
        </row>
        <row r="98">
          <cell r="A98" t="str">
            <v>8.7</v>
          </cell>
          <cell r="B98" t="str">
            <v>16.002.0005-0</v>
          </cell>
          <cell r="C98" t="str">
            <v>16.002.0005-A</v>
          </cell>
          <cell r="D98" t="str">
            <v>EMOP</v>
          </cell>
          <cell r="E98" t="str">
            <v>COBERTURA EM TELHA CERAMICA FRANCESA,EXCLUSIVE CUMEEIRA E MADEIRAMENTO.MEDIDA PELA AREA REAL DA COBERTURA.FORNECIMENTO ECOLOCACAO</v>
          </cell>
          <cell r="F98" t="str">
            <v>M2</v>
          </cell>
          <cell r="G98">
            <v>173.07920000000001</v>
          </cell>
          <cell r="H98">
            <v>134.19</v>
          </cell>
          <cell r="I98">
            <v>23225.49</v>
          </cell>
          <cell r="J98">
            <v>128.77000000000001</v>
          </cell>
          <cell r="K98">
            <v>22287.4</v>
          </cell>
        </row>
        <row r="99">
          <cell r="A99">
            <v>9</v>
          </cell>
          <cell r="B99" t="str">
            <v>PINTURA</v>
          </cell>
          <cell r="I99">
            <v>285481.42000000004</v>
          </cell>
          <cell r="K99">
            <v>266010.75</v>
          </cell>
        </row>
        <row r="100">
          <cell r="A100" t="str">
            <v>9.1</v>
          </cell>
          <cell r="B100" t="str">
            <v>17.018.0115-0</v>
          </cell>
          <cell r="C100" t="str">
            <v>17.018.0115-A</v>
          </cell>
          <cell r="D100" t="str">
            <v>EMOP</v>
          </cell>
          <cell r="E100" t="str">
            <v>PINTURA COM TINTA LATEX SEMIBRILHANTE,FOSCA OU ACETINADA,CLASSIFICACAO PREMIUM OU STANDARD (NBR 15079),PARA INTERIOR E EXTERIOR,BRANCA OU COLORIDA,SOBRE TIJOLO,CONCRETO LISO,CIMENTO SEM AMIANTO,E REVESTIMENTO,INCLUSIVE LIXAMENTO,UMA DEMAO DE SELADOR ACRILICO,DUAS DEMAOS DE MASSA ACRILICA E DUAS DEMAOS DE ACABAMENTO</v>
          </cell>
          <cell r="F100" t="str">
            <v>M2</v>
          </cell>
          <cell r="G100">
            <v>4455.382999999998</v>
          </cell>
          <cell r="H100">
            <v>51.38</v>
          </cell>
          <cell r="I100">
            <v>228917.57</v>
          </cell>
          <cell r="J100">
            <v>47.67</v>
          </cell>
          <cell r="K100">
            <v>212388.1</v>
          </cell>
        </row>
        <row r="101">
          <cell r="A101" t="str">
            <v>9.2</v>
          </cell>
          <cell r="B101" t="str">
            <v>17.013.0030-0</v>
          </cell>
          <cell r="C101" t="str">
            <v>17.013.0030-A</v>
          </cell>
          <cell r="D101" t="str">
            <v>EMOP</v>
          </cell>
          <cell r="E101" t="str">
            <v>PINTURA INTERNA OU EXTERNA SOBRE CONCRETO LISO OU REVESTIMENTO,COM TINTA AQUOSA A BASE DE EPOXI INCOLOR OU EM CORES,INCLUSIVE LIMPEZA,E DUAS DEMAOS DE ACABAMENTO</v>
          </cell>
          <cell r="F101" t="str">
            <v>M2</v>
          </cell>
          <cell r="G101">
            <v>86.64</v>
          </cell>
          <cell r="H101">
            <v>101.91</v>
          </cell>
          <cell r="I101">
            <v>8829.48</v>
          </cell>
          <cell r="J101">
            <v>100.57</v>
          </cell>
          <cell r="K101">
            <v>8713.3799999999992</v>
          </cell>
        </row>
        <row r="102">
          <cell r="A102" t="str">
            <v>9.3</v>
          </cell>
          <cell r="B102" t="str">
            <v>17.018.0190-0</v>
          </cell>
          <cell r="C102" t="str">
            <v>17.018.0190-A</v>
          </cell>
          <cell r="D102" t="str">
            <v>EMOP</v>
          </cell>
          <cell r="E102" t="str">
            <v>PINTURA A BASE DE RESINA ACRILICA SOBRE AZULEJOS E PASTILHASEM AREAS INTERNAS E EXTERNAS,EM TRES DEMAOS</v>
          </cell>
          <cell r="F102" t="str">
            <v>M2</v>
          </cell>
          <cell r="G102">
            <v>144.08499999999998</v>
          </cell>
          <cell r="H102">
            <v>39.85</v>
          </cell>
          <cell r="I102">
            <v>5741.78</v>
          </cell>
          <cell r="J102">
            <v>37.18</v>
          </cell>
          <cell r="K102">
            <v>5357.08</v>
          </cell>
        </row>
        <row r="103">
          <cell r="A103" t="str">
            <v>9.4</v>
          </cell>
          <cell r="B103" t="str">
            <v>17.017.0110-0</v>
          </cell>
          <cell r="C103" t="str">
            <v>17.017.0110-A</v>
          </cell>
          <cell r="D103" t="str">
            <v>EMOP</v>
          </cell>
          <cell r="E103" t="str">
            <v>PINTURA INTERNA OU EXTERNA SOBRE MADEIRA,COM TINTA A OLEO BRILHANTE OU ACETINADA,LIXAMENTO,UMA DEMAO DE VERNIZ ISOLANTEINCOLOR,DUAS DEMAOS DE MASSA PARA MADEIRA,LIXAMENTO E REMOCAO DE PO,UMA DEMAO DE FUNDO SINTETICO NIVELADOR E DUAS DEMAOSDE ACABAMENTO</v>
          </cell>
          <cell r="F103" t="str">
            <v>M2</v>
          </cell>
          <cell r="G103">
            <v>1120.7400000000002</v>
          </cell>
          <cell r="H103">
            <v>35.6</v>
          </cell>
          <cell r="I103">
            <v>39898.339999999997</v>
          </cell>
          <cell r="J103">
            <v>33.54</v>
          </cell>
          <cell r="K103">
            <v>37589.61</v>
          </cell>
        </row>
        <row r="104">
          <cell r="A104" t="str">
            <v>9.5</v>
          </cell>
          <cell r="B104" t="str">
            <v>17.017.0320-0</v>
          </cell>
          <cell r="C104" t="str">
            <v>17.017.0320-A</v>
          </cell>
          <cell r="D104" t="str">
            <v>EMOP</v>
          </cell>
          <cell r="E104" t="str">
            <v>PINTURA INTERNA OU EXTERNA SOBRE FERRO,COM ESMALTE SINTETICOBRILHANTE OU ACETINADO APOS LIXAMENTO,LIMPEZA,DESENGORDURAMENTO,UMA DEMAO DE FUNDO ANTICORROSIVO NA COR LARANJA DE SECAGEM RAPIDA E DUAS DEMAOS DE ACABAMENTO</v>
          </cell>
          <cell r="F104" t="str">
            <v>M2</v>
          </cell>
          <cell r="G104">
            <v>88.365000000000009</v>
          </cell>
          <cell r="H104">
            <v>23.7</v>
          </cell>
          <cell r="I104">
            <v>2094.25</v>
          </cell>
          <cell r="J104">
            <v>22.21</v>
          </cell>
          <cell r="K104">
            <v>1962.58</v>
          </cell>
        </row>
        <row r="105">
          <cell r="A105">
            <v>10</v>
          </cell>
          <cell r="B105" t="str">
            <v>APARELHOS ELÉTRICOS E HIDRÁULICOS</v>
          </cell>
          <cell r="I105">
            <v>96360.08</v>
          </cell>
          <cell r="K105">
            <v>95881.930000000008</v>
          </cell>
        </row>
        <row r="106">
          <cell r="A106" t="str">
            <v>10.1</v>
          </cell>
          <cell r="B106" t="str">
            <v>18.027.0476-0</v>
          </cell>
          <cell r="C106" t="str">
            <v>18.027.0476-A</v>
          </cell>
          <cell r="D106" t="str">
            <v>EMOP</v>
          </cell>
          <cell r="E106" t="str">
            <v>LUMINARIA DE SOBREPOR, FIXADA EM LAJE OU FORRO, TIPO CALHA,CHANFRADA OU PRISMATICA, COMPLETA, COM LAMPADA LED TUBULARDE 2 X 18W. FORNECIMENTO E COLOCACAO</v>
          </cell>
          <cell r="F106" t="str">
            <v>UN</v>
          </cell>
          <cell r="G106">
            <v>36</v>
          </cell>
          <cell r="H106">
            <v>120.22</v>
          </cell>
          <cell r="I106">
            <v>4327.92</v>
          </cell>
          <cell r="J106">
            <v>114.23</v>
          </cell>
          <cell r="K106">
            <v>4112.28</v>
          </cell>
        </row>
        <row r="107">
          <cell r="A107" t="str">
            <v>10.2</v>
          </cell>
          <cell r="B107" t="str">
            <v>18.027.0434-0</v>
          </cell>
          <cell r="C107" t="str">
            <v>18.027.0434-A</v>
          </cell>
          <cell r="D107" t="str">
            <v>EMOP</v>
          </cell>
          <cell r="E107" t="str">
            <v>LUMINARIA TIPO SPOT,DIRECIONAL,EXCLUSIVE LAMPADA.FORNECIMENTO E COLOCACAO</v>
          </cell>
          <cell r="F107" t="str">
            <v>UN</v>
          </cell>
          <cell r="G107">
            <v>13</v>
          </cell>
          <cell r="H107">
            <v>68.09</v>
          </cell>
          <cell r="I107">
            <v>885.17</v>
          </cell>
          <cell r="J107">
            <v>63.13</v>
          </cell>
          <cell r="K107">
            <v>820.69</v>
          </cell>
        </row>
        <row r="108">
          <cell r="A108" t="str">
            <v>10.3</v>
          </cell>
          <cell r="B108" t="str">
            <v>18.027.0045-0</v>
          </cell>
          <cell r="C108" t="str">
            <v>18.027.0045-A</v>
          </cell>
          <cell r="D108" t="str">
            <v>EMOP</v>
          </cell>
          <cell r="E108" t="str">
            <v>LUMINARIA DE EMERGENCIA DE SOBREPOR,EM PLASTICO,EQUIPADA COMBATERIA SELADA RECARREGAVEL COM 30 LAMPADAS EM LED. FORNECIMENTO E COLOCACAO</v>
          </cell>
          <cell r="F108" t="str">
            <v>UN</v>
          </cell>
          <cell r="G108">
            <v>22</v>
          </cell>
          <cell r="H108">
            <v>38.770000000000003</v>
          </cell>
          <cell r="I108">
            <v>852.94</v>
          </cell>
          <cell r="J108">
            <v>36.29</v>
          </cell>
          <cell r="K108">
            <v>798.38</v>
          </cell>
        </row>
        <row r="109">
          <cell r="A109" t="str">
            <v>10.4</v>
          </cell>
          <cell r="B109" t="str">
            <v>18.002.0065-0</v>
          </cell>
          <cell r="C109" t="str">
            <v>18.002.0065-A</v>
          </cell>
          <cell r="D109" t="str">
            <v>EMOP</v>
          </cell>
          <cell r="E109" t="str">
            <v>BACIA SANITARIA DE LOUCA BRANCA,COM CAIXA ACOPLADA,PADRAO POPULAR,INCLUSIVE ASSENTO PLASTICO PADRAO POPULAR,RABICHO EM PVC,ANEL DE VEDACAO E ACESSORIOS DE FIXACAO.FORNECIMENTO</v>
          </cell>
          <cell r="F109" t="str">
            <v>UN</v>
          </cell>
          <cell r="G109">
            <v>8</v>
          </cell>
          <cell r="H109">
            <v>362.89</v>
          </cell>
          <cell r="I109">
            <v>2903.12</v>
          </cell>
          <cell r="J109">
            <v>362.89</v>
          </cell>
          <cell r="K109">
            <v>2903.12</v>
          </cell>
        </row>
        <row r="110">
          <cell r="A110" t="str">
            <v>10.5</v>
          </cell>
          <cell r="B110" t="str">
            <v>18.002.0090-0</v>
          </cell>
          <cell r="C110" t="str">
            <v>18.002.0090-A</v>
          </cell>
          <cell r="D110" t="str">
            <v>EMOP</v>
          </cell>
          <cell r="E110" t="str">
            <v>BACIA SANITARIA DE LOUCA BRANCA,CONVENCIONAL,CONFORME ABNT NBR 9050 PARA ACESSIBILIDADE,INCLUSIVE ASSENTO PLASTICO PADRAO MEDIO LUXO,TUBO DE LIGACAO,ANEL DE VEDACAO E ACESSORIOS DEFIXACAO.FORNECIMENTO</v>
          </cell>
          <cell r="F110" t="str">
            <v>UN</v>
          </cell>
          <cell r="G110">
            <v>2</v>
          </cell>
          <cell r="H110">
            <v>656.47</v>
          </cell>
          <cell r="I110">
            <v>1312.94</v>
          </cell>
          <cell r="J110">
            <v>656.47</v>
          </cell>
          <cell r="K110">
            <v>1312.94</v>
          </cell>
        </row>
        <row r="111">
          <cell r="A111" t="str">
            <v>10.6</v>
          </cell>
          <cell r="B111" t="str">
            <v>18.070.0044-0</v>
          </cell>
          <cell r="C111" t="str">
            <v>18.070.0044-A</v>
          </cell>
          <cell r="D111" t="str">
            <v>EMOP</v>
          </cell>
          <cell r="E111" t="str">
            <v>BANCA DE MARMORE BRANCO NACIONAL,COM 3CM DE ESPESSURA,COM ABERTURA PARA 1 CUBA (EXCLUSIVE ESTA),SOBRE APOIOS DE ALVENARIA DE MEIA VEZ E VERGA DE CONCRETO,SEM REVESTIMENTO.FORNECIMENTO E COLOCACAO</v>
          </cell>
          <cell r="F111" t="str">
            <v>M2</v>
          </cell>
          <cell r="G111">
            <v>3</v>
          </cell>
          <cell r="H111">
            <v>977.83</v>
          </cell>
          <cell r="I111">
            <v>2933.49</v>
          </cell>
          <cell r="J111">
            <v>965.77</v>
          </cell>
          <cell r="K111">
            <v>2897.31</v>
          </cell>
        </row>
        <row r="112">
          <cell r="A112" t="str">
            <v>10.7</v>
          </cell>
          <cell r="B112" t="str">
            <v>18.002.0024-0</v>
          </cell>
          <cell r="C112" t="str">
            <v>18.002.0024-A</v>
          </cell>
          <cell r="D112" t="str">
            <v>EMOP</v>
          </cell>
          <cell r="E112" t="str">
            <v>CUBA DE LOUCA BRANCA,DE SOBREPOR,PADRAO POPULAR,MEDINDO EM TORNO DE (39X29)CM.FERRAGENS: SIFAO DE 1"X1.1/4" EM PVC,TORNEIRA PARA LAVATORIO DE MESA 1193 OU SIMILAR DE 1/2",VALVULA DE ESCOAMENTO EM METAL CROMADO E RABICHO EM PVC.FORNECIMENTO</v>
          </cell>
          <cell r="F112" t="str">
            <v>UN</v>
          </cell>
          <cell r="G112">
            <v>6</v>
          </cell>
          <cell r="H112">
            <v>180.96</v>
          </cell>
          <cell r="I112">
            <v>1085.76</v>
          </cell>
          <cell r="J112">
            <v>180.96</v>
          </cell>
          <cell r="K112">
            <v>1085.76</v>
          </cell>
        </row>
        <row r="113">
          <cell r="A113" t="str">
            <v>10.8</v>
          </cell>
          <cell r="B113" t="str">
            <v>18.080.0025-0</v>
          </cell>
          <cell r="C113" t="str">
            <v>18.080.0025-A</v>
          </cell>
          <cell r="D113" t="str">
            <v>EMOP</v>
          </cell>
          <cell r="E113" t="str">
            <v>BANCA DE GRANITO PRETO,COM 2CM DE ESPESSURA,COM ABERTURA PARA 1 CUBA (EXCLUSIVE ESTA),SOBRE APOIOS DE ALVENARIA DE MEIAVEZ E VERGA DE CONCRETO,SEM REVESTIMENTO.FORNECIMENTO E COLOCACAO</v>
          </cell>
          <cell r="F113" t="str">
            <v>M2</v>
          </cell>
          <cell r="G113">
            <v>3.09</v>
          </cell>
          <cell r="H113">
            <v>1193.8399999999999</v>
          </cell>
          <cell r="I113">
            <v>3688.96</v>
          </cell>
          <cell r="J113">
            <v>1181.79</v>
          </cell>
          <cell r="K113">
            <v>3651.73</v>
          </cell>
        </row>
        <row r="114">
          <cell r="A114" t="str">
            <v>10.9</v>
          </cell>
          <cell r="B114" t="str">
            <v>18.080.0020-0</v>
          </cell>
          <cell r="C114" t="str">
            <v>18.080.0020-A</v>
          </cell>
          <cell r="D114" t="str">
            <v>EMOP</v>
          </cell>
          <cell r="E114" t="str">
            <v>BANCA SECA DE GRANITO PRETO,COM 2CM DE ESPESSURA E 60CM DE LARGURA,SOBRE APOIOS DE ALVENARIA DE MEIA VEZ E VERGA DE CONCRETO,SEM REVESTIMENTO.FORNECIMENTO E ASSENTAMENTO</v>
          </cell>
          <cell r="F114" t="str">
            <v>M</v>
          </cell>
          <cell r="G114">
            <v>2.5499999999999998</v>
          </cell>
          <cell r="H114">
            <v>484.95</v>
          </cell>
          <cell r="I114">
            <v>1236.6199999999999</v>
          </cell>
          <cell r="J114">
            <v>476.88</v>
          </cell>
          <cell r="K114">
            <v>1216.04</v>
          </cell>
        </row>
        <row r="115">
          <cell r="A115" t="str">
            <v>10.10</v>
          </cell>
          <cell r="B115" t="str">
            <v>18.016.0040-0</v>
          </cell>
          <cell r="C115" t="str">
            <v>18.016.0040-0</v>
          </cell>
          <cell r="D115" t="str">
            <v>EMOP</v>
          </cell>
          <cell r="E115" t="str">
            <v>CUBA DE ACO INOXIDAVEL,MEDINDO APROXIMADAMENTE (500X400X200)MM,EM CHAPA 20.304,VALVULA DE ESCOAMENTO TIPO AMERICANA 1623,SIFAO 1680 1.1/2" X 1.1/2",EXCLUSIVE TORNEIRA.FORNECIMENTOE COLOCACAO</v>
          </cell>
          <cell r="F115" t="str">
            <v>UN</v>
          </cell>
          <cell r="G115">
            <v>2</v>
          </cell>
          <cell r="H115">
            <v>528.71</v>
          </cell>
          <cell r="I115">
            <v>1057.42</v>
          </cell>
          <cell r="J115">
            <v>528.71</v>
          </cell>
          <cell r="K115">
            <v>1057.42</v>
          </cell>
        </row>
        <row r="116">
          <cell r="A116" t="str">
            <v>10.11</v>
          </cell>
          <cell r="B116" t="str">
            <v>18.002.0031-0</v>
          </cell>
          <cell r="C116" t="str">
            <v>18.002.0031-A</v>
          </cell>
          <cell r="D116" t="str">
            <v>EMOP</v>
          </cell>
          <cell r="E116" t="str">
            <v>TANQUE DE LOUCA BRANCA,C/COLUNA E MEDIDAS EM TORNO DE (60X56)CM,INCLUSIVE ACESSORIOS DE FIXACAO.FERRAGENS EM METAL CROMADO:TORNEIRA DE PRESSAO,1158 OU SIMILAR,DE 1/2",VALVULA DE ESCOAMENTO 1606 E SIFAO 1680 DE 1.1/2"X1.1/2".FORNECIMENTO</v>
          </cell>
          <cell r="F116" t="str">
            <v>UN</v>
          </cell>
          <cell r="G116">
            <v>1</v>
          </cell>
          <cell r="H116">
            <v>749.12</v>
          </cell>
          <cell r="I116">
            <v>749.12</v>
          </cell>
          <cell r="J116">
            <v>749.12</v>
          </cell>
          <cell r="K116">
            <v>749.12</v>
          </cell>
        </row>
        <row r="117">
          <cell r="A117" t="str">
            <v>10.12</v>
          </cell>
          <cell r="B117" t="str">
            <v>18.016.0106-0</v>
          </cell>
          <cell r="C117" t="str">
            <v>18.016.0106-A</v>
          </cell>
          <cell r="D117" t="str">
            <v>EMOP</v>
          </cell>
          <cell r="E117" t="str">
            <v>BARRA DE APOIO EM ACO INOXIDAVEL AISI 304,TUBO DE 1.1/4",INCLUSIVE FIXACAO COM PARAFUSOS INOXIDAVEIS E BUCHAS PLASTICAS,COM 80CM,CONFORME ABNT NBR 9050 PARA ACESSIBILIDADE.FORNECIMENTO E COLOCACAO</v>
          </cell>
          <cell r="F117" t="str">
            <v>UN</v>
          </cell>
          <cell r="G117">
            <v>4</v>
          </cell>
          <cell r="H117">
            <v>169.55</v>
          </cell>
          <cell r="I117">
            <v>678.2</v>
          </cell>
          <cell r="J117">
            <v>164.59</v>
          </cell>
          <cell r="K117">
            <v>658.36</v>
          </cell>
        </row>
        <row r="118">
          <cell r="A118" t="str">
            <v>10.13</v>
          </cell>
          <cell r="B118" t="str">
            <v>18.032.0030-0</v>
          </cell>
          <cell r="C118" t="str">
            <v>18.032.0030-A</v>
          </cell>
          <cell r="D118" t="str">
            <v>EMOP</v>
          </cell>
          <cell r="E118" t="str">
            <v>EXTINTOR DE INCENDIO PORTATIL,COM CARGA DE PO QUIMICO,CLASSEBC,DE 6KG,INCLUSIVE SUPORTE DE PAREDE,CONFORME ABNT NBR 12693.FORNECIMENTO E COLOCACAO</v>
          </cell>
          <cell r="F118" t="str">
            <v>UN</v>
          </cell>
          <cell r="G118">
            <v>7</v>
          </cell>
          <cell r="H118">
            <v>209.44</v>
          </cell>
          <cell r="I118">
            <v>1466.08</v>
          </cell>
          <cell r="J118">
            <v>206.97</v>
          </cell>
          <cell r="K118">
            <v>1448.79</v>
          </cell>
        </row>
        <row r="119">
          <cell r="A119" t="str">
            <v>10.14</v>
          </cell>
          <cell r="B119" t="str">
            <v>18.032.0012-0</v>
          </cell>
          <cell r="C119" t="str">
            <v>18.032.0012-A</v>
          </cell>
          <cell r="D119" t="str">
            <v>EMOP</v>
          </cell>
          <cell r="E119" t="str">
            <v>EXTINTOR DE INCENDIO PORTATIL,COM CARGA DE AGUA-PRESSURIZADA(AP),CLASSE A,DE 10L,INCLUSIVE SUPORTE DE PAREDE,CONFORME ABNT NBR 12693.FORNECIMENTO E COLOCACAO</v>
          </cell>
          <cell r="F119" t="str">
            <v>UN</v>
          </cell>
          <cell r="G119">
            <v>5</v>
          </cell>
          <cell r="H119">
            <v>194.26</v>
          </cell>
          <cell r="I119">
            <v>971.3</v>
          </cell>
          <cell r="J119">
            <v>191.79</v>
          </cell>
          <cell r="K119">
            <v>958.95</v>
          </cell>
        </row>
        <row r="120">
          <cell r="A120" t="str">
            <v>10.15</v>
          </cell>
          <cell r="B120" t="str">
            <v>18.030.0001-0</v>
          </cell>
          <cell r="C120" t="str">
            <v>18.030.0001-A</v>
          </cell>
          <cell r="D120" t="str">
            <v>EMOP</v>
          </cell>
          <cell r="E120" t="str">
            <v>CONDICIONADOR DE AR TIPO SPLIT 9000 BTU'S COMPREENDENDO 1 CONDENSADOR E 1 EVAPORADOR(VIDE INSTALACAO,ASSENTAMENTO E INTERLIGACOES FAMILIA 15.005).FORNECIMENTO</v>
          </cell>
          <cell r="F120" t="str">
            <v>UN</v>
          </cell>
          <cell r="G120">
            <v>1</v>
          </cell>
          <cell r="H120">
            <v>2048.67</v>
          </cell>
          <cell r="I120">
            <v>2048.67</v>
          </cell>
          <cell r="J120">
            <v>2048.67</v>
          </cell>
          <cell r="K120">
            <v>2048.67</v>
          </cell>
        </row>
        <row r="121">
          <cell r="A121" t="str">
            <v>10.16</v>
          </cell>
          <cell r="B121" t="str">
            <v>18.030.0002-0</v>
          </cell>
          <cell r="C121" t="str">
            <v>18.030.0002-A</v>
          </cell>
          <cell r="D121" t="str">
            <v>EMOP</v>
          </cell>
          <cell r="E121" t="str">
            <v>CONDICIONADOR DE AR TIPO SPLIT 12000 BTU'S COMPREENDENDO 1 CONDENSADOR E 1 EVAPORADOR(VIDE INSTALACAO,ASSENTAMENTO E INTERLIGACOES FAMILIA 15.005).FORNECIMENTO</v>
          </cell>
          <cell r="F121" t="str">
            <v>UN</v>
          </cell>
          <cell r="G121">
            <v>2</v>
          </cell>
          <cell r="H121">
            <v>2227.58</v>
          </cell>
          <cell r="I121">
            <v>4455.16</v>
          </cell>
          <cell r="J121">
            <v>2227.58</v>
          </cell>
          <cell r="K121">
            <v>4455.16</v>
          </cell>
        </row>
        <row r="122">
          <cell r="A122" t="str">
            <v>10.17</v>
          </cell>
          <cell r="B122" t="str">
            <v>18.030.0003-0</v>
          </cell>
          <cell r="C122" t="str">
            <v>18.030.0003-A</v>
          </cell>
          <cell r="D122" t="str">
            <v>EMOP</v>
          </cell>
          <cell r="E122" t="str">
            <v>CONDICIONADOR DE AR TIPO SPLIT 18000 BTU'S COMPREENDENDO 1 CONDENSADOR E 1 EVAPORADOR(VIDE INSTALACAO,ASSENTAMENTO E INTERLIGACOES FAMILIA 15.005).FORNECIMENTO</v>
          </cell>
          <cell r="F122" t="str">
            <v>UN</v>
          </cell>
          <cell r="G122">
            <v>2</v>
          </cell>
          <cell r="H122">
            <v>3394.42</v>
          </cell>
          <cell r="I122">
            <v>6788.84</v>
          </cell>
          <cell r="J122">
            <v>3394.42</v>
          </cell>
          <cell r="K122">
            <v>6788.84</v>
          </cell>
        </row>
        <row r="123">
          <cell r="A123" t="str">
            <v>10.18</v>
          </cell>
          <cell r="B123" t="str">
            <v>18.030.0005-0</v>
          </cell>
          <cell r="C123" t="str">
            <v>18.030.0005-A</v>
          </cell>
          <cell r="D123" t="str">
            <v>EMOP</v>
          </cell>
          <cell r="E123" t="str">
            <v>CONDICIONADOR DE AR TIPO SPLIT 24000 BTU'S COMPREENDENDO 1 CONDENSADOR E 1 EVAPORADOR(VIDE INSTALACAO,ASSENTAMENTO E INTERLIGACOES FAMILIA 15.005).FORNECIMENTO</v>
          </cell>
          <cell r="F123" t="str">
            <v>UN</v>
          </cell>
          <cell r="G123">
            <v>3</v>
          </cell>
          <cell r="H123">
            <v>4206.57</v>
          </cell>
          <cell r="I123">
            <v>12619.71</v>
          </cell>
          <cell r="J123">
            <v>4206.57</v>
          </cell>
          <cell r="K123">
            <v>12619.71</v>
          </cell>
        </row>
        <row r="124">
          <cell r="A124" t="str">
            <v>10.19</v>
          </cell>
          <cell r="B124" t="str">
            <v>18.030.0007-0</v>
          </cell>
          <cell r="C124" t="str">
            <v>18.030.0007-A</v>
          </cell>
          <cell r="D124" t="str">
            <v>EMOP</v>
          </cell>
          <cell r="E124" t="str">
            <v>CONDICIONADOR DE AR TIPO SPLIT 30000 BTU'S COMPREENDENDO 1 CONDENSADOR E 1 EVAPORADOR(VIDE INSTALACAO,ASSENTAMENTO E INTERLIGACOES FAMILIA 15.005).FORNECIMENTO</v>
          </cell>
          <cell r="F124" t="str">
            <v>UN</v>
          </cell>
          <cell r="G124">
            <v>3</v>
          </cell>
          <cell r="H124">
            <v>5762.39</v>
          </cell>
          <cell r="I124">
            <v>17287.169999999998</v>
          </cell>
          <cell r="J124">
            <v>5762.39</v>
          </cell>
          <cell r="K124">
            <v>17287.169999999998</v>
          </cell>
        </row>
        <row r="125">
          <cell r="A125" t="str">
            <v>10.20</v>
          </cell>
          <cell r="B125" t="str">
            <v>18.030.0008-0</v>
          </cell>
          <cell r="C125" t="str">
            <v>18.030.0008-A</v>
          </cell>
          <cell r="D125" t="str">
            <v>EMOP</v>
          </cell>
          <cell r="E125" t="str">
            <v>CONDICIONADOR DE AR TIPO SPLIT 36000 BTU'S COMPREENDENDO 1 CONDENSADOR E  1 EVAPORADOR(VIDE INSTALACAO,ASSENTAMENTO E INTERLIGACOES FAMILIA 15.005).FORNECIMENTO</v>
          </cell>
          <cell r="F125" t="str">
            <v>UN</v>
          </cell>
          <cell r="G125">
            <v>1</v>
          </cell>
          <cell r="H125">
            <v>7589.55</v>
          </cell>
          <cell r="I125">
            <v>7589.55</v>
          </cell>
          <cell r="J125">
            <v>7589.55</v>
          </cell>
          <cell r="K125">
            <v>7589.55</v>
          </cell>
        </row>
        <row r="126">
          <cell r="A126" t="str">
            <v>10.21</v>
          </cell>
          <cell r="B126" t="str">
            <v>18.030.0009-0</v>
          </cell>
          <cell r="C126" t="str">
            <v>18.030.0009-A</v>
          </cell>
          <cell r="D126" t="str">
            <v>EMOP</v>
          </cell>
          <cell r="E126" t="str">
            <v>CONDICIONADOR DE AR TIPO SPLIT 48000 BTU'S COMPREENDENDO 1 CONDENSADOR E 1 EVAPORADOR(VIDE INSTALACAO,ASSENTAMENTO E INTERLIGACOES FAMILIA 15.005).FORNECIMENTO</v>
          </cell>
          <cell r="F126" t="str">
            <v>UN</v>
          </cell>
          <cell r="G126">
            <v>2</v>
          </cell>
          <cell r="H126">
            <v>10710.97</v>
          </cell>
          <cell r="I126">
            <v>21421.94</v>
          </cell>
          <cell r="J126">
            <v>10710.97</v>
          </cell>
          <cell r="K126">
            <v>21421.94</v>
          </cell>
        </row>
        <row r="127">
          <cell r="A127">
            <v>11</v>
          </cell>
          <cell r="B127" t="str">
            <v>ENCARGOS COMPLEMENTARES</v>
          </cell>
          <cell r="I127">
            <v>70572.160000000003</v>
          </cell>
          <cell r="K127">
            <v>70572.160000000003</v>
          </cell>
        </row>
        <row r="128">
          <cell r="A128" t="str">
            <v>11.1</v>
          </cell>
          <cell r="B128" t="str">
            <v>COMPOSIÇÃO 1</v>
          </cell>
          <cell r="C128" t="str">
            <v>COMPOSIÇÃO 1</v>
          </cell>
          <cell r="D128" t="str">
            <v>EMOP</v>
          </cell>
          <cell r="E128" t="str">
            <v>ENCARGOS COMPLEMENTARES</v>
          </cell>
          <cell r="F128" t="str">
            <v>UN</v>
          </cell>
          <cell r="G128">
            <v>100</v>
          </cell>
          <cell r="H128">
            <v>705.72160000000008</v>
          </cell>
          <cell r="I128">
            <v>70572.160000000003</v>
          </cell>
          <cell r="J128">
            <v>705.72160000000008</v>
          </cell>
          <cell r="K128">
            <v>70572.160000000003</v>
          </cell>
        </row>
        <row r="129">
          <cell r="A129">
            <v>12</v>
          </cell>
          <cell r="B129" t="str">
            <v>ADMINISTRAÇÃO DE OBRA</v>
          </cell>
          <cell r="I129">
            <v>51018</v>
          </cell>
          <cell r="K129">
            <v>48636</v>
          </cell>
        </row>
        <row r="130">
          <cell r="A130" t="str">
            <v>12.1</v>
          </cell>
          <cell r="B130" t="str">
            <v>COMPOSIÇÃO 2</v>
          </cell>
          <cell r="C130" t="str">
            <v>COMPOSIÇÃO 2</v>
          </cell>
          <cell r="D130" t="str">
            <v>EMOP</v>
          </cell>
          <cell r="E130" t="str">
            <v>ADMINISTRAÇÃO LOCAL DA OBRA - CONFORME MEMÓRIA DE CÁLCULO DOS QUANTITATIVOS</v>
          </cell>
          <cell r="F130" t="str">
            <v>UN</v>
          </cell>
          <cell r="G130">
            <v>100</v>
          </cell>
          <cell r="H130">
            <v>510.18</v>
          </cell>
          <cell r="I130">
            <v>51018</v>
          </cell>
          <cell r="J130">
            <v>486.36</v>
          </cell>
          <cell r="K130">
            <v>48636</v>
          </cell>
        </row>
        <row r="131">
          <cell r="F131" t="str">
            <v>TOTAL GERAL SEM BDI</v>
          </cell>
          <cell r="I131">
            <v>1512856.51</v>
          </cell>
          <cell r="K131">
            <v>1442222.21</v>
          </cell>
        </row>
        <row r="132">
          <cell r="I132" t="str">
            <v>SEM DESONERAÇÃO</v>
          </cell>
          <cell r="K132" t="str">
            <v>COM DESONERAÇÃO</v>
          </cell>
        </row>
        <row r="134">
          <cell r="F134" t="str">
            <v>TOTAL GERAL COM BDI</v>
          </cell>
        </row>
        <row r="135">
          <cell r="F135" t="str">
            <v>BDI</v>
          </cell>
          <cell r="H135">
            <v>0.17679999999999998</v>
          </cell>
          <cell r="I135">
            <v>267473.03000000003</v>
          </cell>
          <cell r="J135">
            <v>0.22389999999999999</v>
          </cell>
          <cell r="K135">
            <v>322913.55</v>
          </cell>
        </row>
        <row r="136">
          <cell r="F136" t="str">
            <v>SEM DES.</v>
          </cell>
          <cell r="I136">
            <v>1780329.54</v>
          </cell>
          <cell r="J136" t="str">
            <v>COM DES.</v>
          </cell>
          <cell r="K136">
            <v>1765135.76</v>
          </cell>
        </row>
      </sheetData>
      <sheetData sheetId="4"/>
      <sheetData sheetId="5">
        <row r="1396">
          <cell r="B1396" t="str">
            <v>10.16</v>
          </cell>
          <cell r="P1396">
            <v>2</v>
          </cell>
        </row>
        <row r="1405">
          <cell r="B1405" t="str">
            <v>10.17</v>
          </cell>
          <cell r="P1405">
            <v>2</v>
          </cell>
        </row>
        <row r="1414">
          <cell r="B1414" t="str">
            <v>10.18</v>
          </cell>
          <cell r="P1414">
            <v>3</v>
          </cell>
        </row>
        <row r="1424">
          <cell r="B1424" t="str">
            <v>10.19</v>
          </cell>
          <cell r="P1424">
            <v>3</v>
          </cell>
        </row>
        <row r="1434">
          <cell r="B1434" t="str">
            <v>10.20</v>
          </cell>
          <cell r="P1434">
            <v>1</v>
          </cell>
        </row>
        <row r="1442">
          <cell r="B1442" t="str">
            <v>10.21</v>
          </cell>
          <cell r="P1442">
            <v>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CRONOGRAMA FISICO-FINANCEIRO"/>
      <sheetName val="ORÇ_ANALITICO"/>
      <sheetName val="MEMORIA"/>
      <sheetName val="ENCARGOS"/>
      <sheetName val="M.O.D_Alim_Transp"/>
      <sheetName val="ABC GRAFICO"/>
      <sheetName val="APOIO ABC"/>
      <sheetName val="ITENS DE MOBILIZAÇÃO"/>
      <sheetName val="TEXTOS"/>
      <sheetName val="I0 06.24"/>
      <sheetName val="APOIO ALIM E TRANSP."/>
      <sheetName val="ABC"/>
      <sheetName val="EMOP 04-23"/>
      <sheetName val="SINAPI_MAT 05-22(SEM-DES)"/>
      <sheetName val="SINAPI_MAT 05-22(COM-DES)"/>
      <sheetName val="SINAPI_SINT 04-24(SEM-DES)"/>
      <sheetName val="SINAPI_SINT 04-23(COM-DES)"/>
    </sheetNames>
    <sheetDataSet>
      <sheetData sheetId="0" refreshError="1"/>
      <sheetData sheetId="1" refreshError="1"/>
      <sheetData sheetId="2" refreshError="1">
        <row r="10">
          <cell r="B10">
            <v>1</v>
          </cell>
          <cell r="C10" t="str">
            <v>SERVIÇOS DE ESCRITÓRIO, LABORATÓRIO E CAMPO</v>
          </cell>
          <cell r="D10"/>
          <cell r="E10"/>
          <cell r="F10"/>
          <cell r="G10"/>
          <cell r="H10"/>
          <cell r="I10"/>
          <cell r="J10">
            <v>218808.29</v>
          </cell>
          <cell r="K10"/>
          <cell r="L10">
            <v>189586.25</v>
          </cell>
        </row>
        <row r="11">
          <cell r="B11" t="str">
            <v>1.1</v>
          </cell>
          <cell r="C11" t="str">
            <v>01.050.0300-0</v>
          </cell>
          <cell r="D11" t="str">
            <v>01.050.0300-A</v>
          </cell>
          <cell r="E11" t="str">
            <v>EMOP</v>
          </cell>
          <cell r="F11" t="str">
            <v>RELATORIO FINAL DE OBRAS OU SERVICOS DE ENGENHARIA,REGISTROFOTOGRAFICO DOS SERVICOS,ACOMPANHADO DE LEGENDAS E INDICACAODA LOCALIZACAO,INFORMACOES CONTRATUAIS,PLANILHA ORCAMENTARIA E DESCRICAO DO ESCOPO DOS SERVICOS REALIZADOS,CONF.RECOMENDACOES E ESPECIFI</v>
          </cell>
          <cell r="G11" t="str">
            <v>UN</v>
          </cell>
          <cell r="H11">
            <v>1</v>
          </cell>
          <cell r="I11">
            <v>1950.28</v>
          </cell>
          <cell r="J11">
            <v>1950.28</v>
          </cell>
          <cell r="K11">
            <v>1689.82</v>
          </cell>
          <cell r="L11">
            <v>1689.82</v>
          </cell>
        </row>
        <row r="12">
          <cell r="B12" t="str">
            <v>1.2</v>
          </cell>
          <cell r="C12" t="str">
            <v>01.050.0518-0</v>
          </cell>
          <cell r="D12" t="str">
            <v>01.050.0518-A</v>
          </cell>
          <cell r="E12" t="str">
            <v>EMOP</v>
          </cell>
          <cell r="F12" t="str">
            <v>PROJETO EXECUTIVO DE INSTALACAO ELETRICA,CONSIDERANDO O PROJETO BASICO EXISTENTE,PARA PREDIOS CULTURAIS ATE 3000M2,APRESENTADO NOS PADROES DA CONTRATANTE,INCLUSIVE AS LEGALIZACOESPERTINENTES</v>
          </cell>
          <cell r="G12" t="str">
            <v>M2</v>
          </cell>
          <cell r="H12">
            <v>1081.3399999999999</v>
          </cell>
          <cell r="I12">
            <v>16.32</v>
          </cell>
          <cell r="J12">
            <v>17647.46</v>
          </cell>
          <cell r="K12">
            <v>14.14</v>
          </cell>
          <cell r="L12">
            <v>15290.14</v>
          </cell>
        </row>
        <row r="13">
          <cell r="B13" t="str">
            <v>1.3</v>
          </cell>
          <cell r="C13" t="str">
            <v>01.050.0380-0</v>
          </cell>
          <cell r="D13" t="str">
            <v>01.050.0380-A</v>
          </cell>
          <cell r="E13" t="str">
            <v>EMOP</v>
          </cell>
          <cell r="F13" t="str">
            <v>PROJETO EXECUTIVO DE INSTALACAO DE INCENDIO E SPDA,CONSIDERANDO PROJETO BASICO EXISTENTE,PARA PREDIOS CULTURAIS ACIMA DE500M2,APRESENTADO NOS PADROES DA CONTRATANTE,INCLUSIVE AS LEGALIZACOES PERTINENTES</v>
          </cell>
          <cell r="G13" t="str">
            <v>M2</v>
          </cell>
          <cell r="H13">
            <v>1081.3399999999999</v>
          </cell>
          <cell r="I13">
            <v>8.19</v>
          </cell>
          <cell r="J13">
            <v>8856.17</v>
          </cell>
          <cell r="K13">
            <v>7.09</v>
          </cell>
          <cell r="L13">
            <v>7666.7</v>
          </cell>
        </row>
        <row r="14">
          <cell r="B14" t="str">
            <v>1.4</v>
          </cell>
          <cell r="C14" t="str">
            <v>01.050.0022-0</v>
          </cell>
          <cell r="D14" t="str">
            <v>01.050.0022-A</v>
          </cell>
          <cell r="E14" t="str">
            <v>EMOP</v>
          </cell>
          <cell r="F14" t="str">
            <v>PROJETO EXECUTIVO DE ARQUITETURA PARA PREDIOS CULTURAIS ATE500M2,INCLUSIVE PROJETO BASICO,APRESENTADO NOS PADROES DA CONTRATANTE,INCLUSIVE AS LEGALIZACOES PERTINENTES,COORDENACAOE COMPATIBILIZACAO COM OS PROJETOS COMPLEMENTARES</v>
          </cell>
          <cell r="G14" t="str">
            <v>M2</v>
          </cell>
          <cell r="H14">
            <v>581.33999999999992</v>
          </cell>
          <cell r="I14">
            <v>185.51</v>
          </cell>
          <cell r="J14">
            <v>107844.38</v>
          </cell>
          <cell r="K14">
            <v>160.74</v>
          </cell>
          <cell r="L14">
            <v>93444.59</v>
          </cell>
          <cell r="M14"/>
        </row>
        <row r="15">
          <cell r="B15" t="str">
            <v>1.5</v>
          </cell>
          <cell r="C15" t="str">
            <v>01.050.0023-0</v>
          </cell>
          <cell r="D15" t="str">
            <v>01.050.0023-A</v>
          </cell>
          <cell r="E15" t="str">
            <v>EMOP</v>
          </cell>
          <cell r="F15" t="str">
            <v>PROJETO EXECUTIVO DE ARQUITETURA PARA PREDIOS CULTURAIS DE 501 ATE 3.000M2,INCLUSIVE PROJETO BASICO,APRESENTADO NOS PADROES DA CONTRATANTE,INCLUSIVE AS LEGALIZACOES PERTINENTES,COORDENACAO E COMPATIBILIZACAO COM OS PROJETOS COMPLEMENTARES</v>
          </cell>
          <cell r="G15" t="str">
            <v>M2</v>
          </cell>
          <cell r="H15">
            <v>500</v>
          </cell>
          <cell r="I15">
            <v>165.02</v>
          </cell>
          <cell r="J15">
            <v>82510</v>
          </cell>
          <cell r="K15">
            <v>142.99</v>
          </cell>
          <cell r="L15">
            <v>71495</v>
          </cell>
          <cell r="M15"/>
        </row>
        <row r="16">
          <cell r="B16">
            <v>2</v>
          </cell>
          <cell r="C16" t="str">
            <v>CANTEIRO DE OBRAS</v>
          </cell>
          <cell r="D16"/>
          <cell r="E16"/>
          <cell r="F16"/>
          <cell r="G16"/>
          <cell r="H16"/>
          <cell r="I16"/>
          <cell r="J16">
            <v>30704.62</v>
          </cell>
          <cell r="K16"/>
          <cell r="L16">
            <v>28846.2</v>
          </cell>
        </row>
        <row r="17">
          <cell r="B17" t="str">
            <v>2.1</v>
          </cell>
          <cell r="C17" t="str">
            <v>02.020.0002-0</v>
          </cell>
          <cell r="D17" t="str">
            <v>02.020.0002-A</v>
          </cell>
          <cell r="E17" t="str">
            <v>EMOP</v>
          </cell>
          <cell r="F17" t="str">
            <v>PLACA DE IDENTIFICACAO DE OBRA PUBLICA,TIPO BANNER/PLOTTER,CONSTITUIDA POR LONA E IMPRESSAO DIGITAL,INCLUSIVE SUPORTES DE MADEIRA.FORNECIMENTO E COLOCACAO</v>
          </cell>
          <cell r="G17" t="str">
            <v>M2</v>
          </cell>
          <cell r="H17">
            <v>8</v>
          </cell>
          <cell r="I17">
            <v>254.09</v>
          </cell>
          <cell r="J17">
            <v>2032.72</v>
          </cell>
          <cell r="K17">
            <v>240.27</v>
          </cell>
          <cell r="L17">
            <v>1922.16</v>
          </cell>
        </row>
        <row r="18">
          <cell r="B18" t="str">
            <v>2.2</v>
          </cell>
          <cell r="C18" t="str">
            <v>02.004.0001-0</v>
          </cell>
          <cell r="D18" t="str">
            <v>02.004.0001-A</v>
          </cell>
          <cell r="E18" t="str">
            <v>EMOP</v>
          </cell>
          <cell r="F18" t="str">
            <v>BARRACAO DE OBRA,COM PAREDES E PISO DE TABUAS DE MADEIRA DE3ª,COBERTURA DE TELHAS DE FIBROCIMENTO DE 6MM,E INSTALACOES,EXCLUSIVE PINTURA,SENDO REAPROVEITADO 2 VEZES</v>
          </cell>
          <cell r="G18" t="str">
            <v>M2</v>
          </cell>
          <cell r="H18">
            <v>24</v>
          </cell>
          <cell r="I18">
            <v>543.13</v>
          </cell>
          <cell r="J18">
            <v>13035.12</v>
          </cell>
          <cell r="K18">
            <v>485.89</v>
          </cell>
          <cell r="L18">
            <v>11661.36</v>
          </cell>
        </row>
        <row r="19">
          <cell r="B19" t="str">
            <v>2.3</v>
          </cell>
          <cell r="C19" t="str">
            <v>02.006.0050-0</v>
          </cell>
          <cell r="D19" t="str">
            <v>02.006.0050-A</v>
          </cell>
          <cell r="E19" t="str">
            <v>EMOP</v>
          </cell>
          <cell r="F19" t="str">
            <v xml:space="preserve">ALUGUEL DE BANHEIRO QUIMICO,PORTATIL,MEDINDO 2,31M ALTURA X1,56M LARGURA E 1,16M PROFUNDIDADE,INCLUSIVE INSTALACAO E RETIRADA DO EQUIPAMENTO,FORNECIMENTO DE QUIMICA DESODORIZANTE,BACTERICIDA E BACTERIOSTATICA,PAPEL HIGIENICO E VEICULO PROPRIO COM UNIDADE </v>
          </cell>
          <cell r="G19" t="str">
            <v>UNXMES</v>
          </cell>
          <cell r="H19">
            <v>8</v>
          </cell>
          <cell r="I19">
            <v>1300</v>
          </cell>
          <cell r="J19">
            <v>10400</v>
          </cell>
          <cell r="K19">
            <v>1300</v>
          </cell>
          <cell r="L19">
            <v>10400</v>
          </cell>
        </row>
        <row r="20">
          <cell r="B20" t="str">
            <v>2.4</v>
          </cell>
          <cell r="C20" t="str">
            <v>02.001.0001-0</v>
          </cell>
          <cell r="D20" t="str">
            <v>02.001.0001-A</v>
          </cell>
          <cell r="E20" t="str">
            <v>EMOP</v>
          </cell>
          <cell r="F20" t="str">
            <v>TAPUME DE VEDACAO OU PROTECAO,EXECUTADO C/CHAPAS DE MADEIRACOMPENSADA,RESINADA,LISA,DE COLAGEM FENOLICA,A PROVA D`AGUA,COM 2,20X1,10M E 6MM DE ESPESSURA,PREGADAS EM PECAS DE MADEIRA DE 3ª DE 3"X3" HORIZONTAIS E VERTICAIS A CADA 1,22M,EXCLUSIVE PINTURA</v>
          </cell>
          <cell r="G20" t="str">
            <v>M2</v>
          </cell>
          <cell r="H20">
            <v>67.650000000000006</v>
          </cell>
          <cell r="I20">
            <v>77.41</v>
          </cell>
          <cell r="J20">
            <v>5236.78</v>
          </cell>
          <cell r="K20">
            <v>71.88</v>
          </cell>
          <cell r="L20">
            <v>4862.68</v>
          </cell>
        </row>
        <row r="21">
          <cell r="B21">
            <v>3</v>
          </cell>
          <cell r="C21" t="str">
            <v>TRANSPORTES</v>
          </cell>
          <cell r="D21"/>
          <cell r="E21"/>
          <cell r="F21"/>
          <cell r="G21"/>
          <cell r="H21"/>
          <cell r="I21"/>
          <cell r="J21">
            <v>4111.7800000000007</v>
          </cell>
          <cell r="K21"/>
          <cell r="L21">
            <v>4054.8599999999997</v>
          </cell>
        </row>
        <row r="22">
          <cell r="B22" t="str">
            <v>3.1</v>
          </cell>
          <cell r="C22" t="str">
            <v>04.020.0122-0</v>
          </cell>
          <cell r="D22" t="str">
            <v>04.020.0122-A</v>
          </cell>
          <cell r="E22" t="str">
            <v>EMOP</v>
          </cell>
          <cell r="F22" t="str">
            <v>TRANSPORTE DE ANDAIME TUBULAR,CONSIDERANDO-SE A AREA DE PROJECAO VERTICAL DO ANDAIME,EXCLUSIVE CARGA,DESCARGA E TEMPO DEESPERA DO CAMINHAO(VIDE ITEM 04.021.0010)</v>
          </cell>
          <cell r="G22" t="str">
            <v>M2XKM</v>
          </cell>
          <cell r="H22">
            <v>9117</v>
          </cell>
          <cell r="I22">
            <v>0.2</v>
          </cell>
          <cell r="J22">
            <v>1823.4</v>
          </cell>
          <cell r="K22">
            <v>0.2</v>
          </cell>
          <cell r="L22">
            <v>1823.4</v>
          </cell>
        </row>
        <row r="23">
          <cell r="B23" t="str">
            <v>3.2</v>
          </cell>
          <cell r="C23" t="str">
            <v>04.021.0010-0</v>
          </cell>
          <cell r="D23" t="str">
            <v>04.021.0010-A</v>
          </cell>
          <cell r="E23" t="str">
            <v>EMOP</v>
          </cell>
          <cell r="F23" t="str">
            <v>CARGA E DESCARGA MANUAL DE ANDAIME TUBULAR,INCLUSIVE TEMPO DE ESPERA DO CAMINHAO,CONSIDERANDO-SE A AREA DE PROJECAO VERTICAL</v>
          </cell>
          <cell r="G23" t="str">
            <v>M2</v>
          </cell>
          <cell r="H23">
            <v>607.79999999999995</v>
          </cell>
          <cell r="I23">
            <v>1.03</v>
          </cell>
          <cell r="J23">
            <v>626.03</v>
          </cell>
          <cell r="K23">
            <v>0.95</v>
          </cell>
          <cell r="L23">
            <v>577.41</v>
          </cell>
        </row>
        <row r="24">
          <cell r="B24" t="str">
            <v>3.3</v>
          </cell>
          <cell r="C24" t="str">
            <v>04.014.0095-0</v>
          </cell>
          <cell r="D24" t="str">
            <v>04.014.0095-A</v>
          </cell>
          <cell r="E24" t="str">
            <v>EMOP</v>
          </cell>
          <cell r="F24" t="str">
            <v>RETIRADA DE ENTULHO DE OBRA COM CACAMBA DE ACO TIPO CONTAINER COM 5M3 DE CAPACIDADE,INCLUSIVE CARREGAMENTO,TRANSPORTE EDESCARREGAMENTO.CUSTO POR UNIDADE DE CACAMBA E INCLUI A TAXA PARA DESCARGA EM LOCAIS AUTORIZADOS</v>
          </cell>
          <cell r="G24" t="str">
            <v>UN</v>
          </cell>
          <cell r="H24">
            <v>5</v>
          </cell>
          <cell r="I24">
            <v>332.47</v>
          </cell>
          <cell r="J24">
            <v>1662.35</v>
          </cell>
          <cell r="K24">
            <v>330.81</v>
          </cell>
          <cell r="L24">
            <v>1654.05</v>
          </cell>
        </row>
        <row r="25">
          <cell r="B25">
            <v>4</v>
          </cell>
          <cell r="C25" t="str">
            <v>SERVIÇOS PRELIMINARES</v>
          </cell>
          <cell r="D25"/>
          <cell r="E25"/>
          <cell r="F25"/>
          <cell r="G25"/>
          <cell r="H25"/>
          <cell r="I25"/>
          <cell r="J25">
            <v>160594.20999999996</v>
          </cell>
          <cell r="K25"/>
          <cell r="L25">
            <v>155482.29</v>
          </cell>
        </row>
        <row r="26">
          <cell r="B26" t="str">
            <v>4.1</v>
          </cell>
          <cell r="C26" t="str">
            <v>05.006.0001-1</v>
          </cell>
          <cell r="D26" t="str">
            <v>05.006.0001-B</v>
          </cell>
          <cell r="E26" t="str">
            <v>EMOP</v>
          </cell>
          <cell r="F26" t="str">
            <v>LOCACAO DE ANDAIME COM ELEMENTOS TUBULARES SOBRE SAPATAS FIXAS,CONSIDERANDO-SE A AREA DA PROJECAO VERTICAL DO ANDAIME EPAGO PELO TEMPO NECESSARIO A SUA UTILIZACAO,EXCLUSIVE TRANSPORTE DOS ELEMENTOS DO ANDAIME ATE A OBRA,PLATAFORMA OU PASSARELA DE PINHO,MO</v>
          </cell>
          <cell r="G26" t="str">
            <v>M2XMES</v>
          </cell>
          <cell r="H26">
            <v>2431.1999999999998</v>
          </cell>
          <cell r="I26">
            <v>34.340000000000003</v>
          </cell>
          <cell r="J26">
            <v>83487.399999999994</v>
          </cell>
          <cell r="K26">
            <v>34.340000000000003</v>
          </cell>
          <cell r="L26">
            <v>83487.399999999994</v>
          </cell>
          <cell r="M26"/>
        </row>
        <row r="27">
          <cell r="B27" t="str">
            <v>4.2</v>
          </cell>
          <cell r="C27" t="str">
            <v>05.008.0001-0</v>
          </cell>
          <cell r="D27" t="str">
            <v>05.008.0001-A</v>
          </cell>
          <cell r="E27" t="str">
            <v>EMOP</v>
          </cell>
          <cell r="F27" t="str">
            <v>MONTAGEM E DESMONTAGEM DE ANDAIME COM ELEMENTOS TUBULARES,CONSIDERANDO-SE A AREA VERTICAL RECOBERTA</v>
          </cell>
          <cell r="G27" t="str">
            <v>M2</v>
          </cell>
          <cell r="H27">
            <v>2767.5</v>
          </cell>
          <cell r="I27">
            <v>8.31</v>
          </cell>
          <cell r="J27">
            <v>22997.919999999998</v>
          </cell>
          <cell r="K27">
            <v>7.21</v>
          </cell>
          <cell r="L27">
            <v>19953.669999999998</v>
          </cell>
          <cell r="M27"/>
        </row>
        <row r="28">
          <cell r="B28" t="str">
            <v>4.3</v>
          </cell>
          <cell r="C28" t="str">
            <v>05.001.0065-0</v>
          </cell>
          <cell r="D28" t="str">
            <v>05.001.0065-A</v>
          </cell>
          <cell r="E28" t="str">
            <v>EMOP</v>
          </cell>
          <cell r="F28" t="str">
            <v>REMOCAO DE FORRO OU LAMBRI DE FRISOS DE MADEIRA OU PVC,PLACAS DE AGLOMERADO PRENSADO OU SEMELHANTES,INCLUSIVE O ENGRADAMAMENTO</v>
          </cell>
          <cell r="G28" t="str">
            <v>M2</v>
          </cell>
          <cell r="H28">
            <v>516.95000000000005</v>
          </cell>
          <cell r="I28">
            <v>9.35</v>
          </cell>
          <cell r="J28">
            <v>4833.4799999999996</v>
          </cell>
          <cell r="K28">
            <v>8.11</v>
          </cell>
          <cell r="L28">
            <v>4192.46</v>
          </cell>
          <cell r="M28"/>
        </row>
        <row r="29">
          <cell r="B29" t="str">
            <v>4.4</v>
          </cell>
          <cell r="C29" t="str">
            <v>05.001.0134-0</v>
          </cell>
          <cell r="D29" t="str">
            <v>05.001.0134-A</v>
          </cell>
          <cell r="E29" t="str">
            <v>EMOP</v>
          </cell>
          <cell r="F29" t="str">
            <v>ARRANCAMENTO DE PORTAS,JANELAS E CAIXILHOS DE AR CONDICIONADO OU OUTROS</v>
          </cell>
          <cell r="G29" t="str">
            <v>UN</v>
          </cell>
          <cell r="H29">
            <v>43</v>
          </cell>
          <cell r="I29">
            <v>29.42</v>
          </cell>
          <cell r="J29">
            <v>1265.06</v>
          </cell>
          <cell r="K29">
            <v>25.5</v>
          </cell>
          <cell r="L29">
            <v>1096.5</v>
          </cell>
          <cell r="M29"/>
        </row>
        <row r="30">
          <cell r="B30" t="str">
            <v>4.5</v>
          </cell>
          <cell r="C30" t="str">
            <v>05.001.0009-0</v>
          </cell>
          <cell r="D30" t="str">
            <v>05.001.0009-A</v>
          </cell>
          <cell r="E30" t="str">
            <v>EMOP</v>
          </cell>
          <cell r="F30" t="str">
            <v>DEMOLICAO DE REVESTIMENTO EM AZULEJOS,CERAMICAS OU MARMORE EM PAREDE,EXCLUSIVE A CAMADA DE ASSENTAMENTO</v>
          </cell>
          <cell r="G30" t="str">
            <v>M2</v>
          </cell>
          <cell r="H30">
            <v>151.24500000000003</v>
          </cell>
          <cell r="I30">
            <v>24.95</v>
          </cell>
          <cell r="J30">
            <v>3773.56</v>
          </cell>
          <cell r="K30">
            <v>21.63</v>
          </cell>
          <cell r="L30">
            <v>3271.42</v>
          </cell>
          <cell r="M30"/>
        </row>
        <row r="31">
          <cell r="B31" t="str">
            <v>4.6</v>
          </cell>
          <cell r="C31" t="str">
            <v>97633</v>
          </cell>
          <cell r="D31" t="str">
            <v>97633</v>
          </cell>
          <cell r="E31" t="str">
            <v>SINAPI</v>
          </cell>
          <cell r="F31" t="str">
            <v>EMBOÇO OU MASSA ÚNICA EM ARGAMASSA TRAÇO 1:2:8, PREPARO MECÂNICA COM BETONEIRA 400 L, APLICADA COM PROJETOR TIPO CANEQUINHA EM PANOS DE FACHADA SEM PRESENÇA DE VÃOS, ESPESSURA DE 50 MM, ACESSO POR BALANCIM MANUAL. AF_08/2022</v>
          </cell>
          <cell r="G31" t="str">
            <v>M2</v>
          </cell>
          <cell r="H31">
            <v>5.7792000000000012</v>
          </cell>
          <cell r="I31" t="str">
            <v>31,24</v>
          </cell>
          <cell r="J31">
            <v>180.54</v>
          </cell>
          <cell r="K31" t="str">
            <v>28,16</v>
          </cell>
          <cell r="L31">
            <v>162.74</v>
          </cell>
          <cell r="M31"/>
        </row>
        <row r="32">
          <cell r="B32" t="str">
            <v>4.7</v>
          </cell>
          <cell r="C32" t="str">
            <v>97631</v>
          </cell>
          <cell r="D32" t="str">
            <v>97631</v>
          </cell>
          <cell r="E32" t="str">
            <v>SINAPI</v>
          </cell>
          <cell r="F32" t="str">
            <v>EMBOÇO OU MASSA ÚNICA EM ARGAMASSA TRAÇO 1:2:8, PREPARO MECÂNICA COM BETONEIRA 400 L, APLICADA COM PROJETOR TIPO CANEQUINHA EM PANOS DE FACHADA SEM PRESENÇA DE VÃOS, ESPESSURA DE 35 MM, ACESSO POR BALANCIM MANUAL. AF_08/2022</v>
          </cell>
          <cell r="G32" t="str">
            <v>M2</v>
          </cell>
          <cell r="H32">
            <v>221.25749999999999</v>
          </cell>
          <cell r="I32" t="str">
            <v>15,38</v>
          </cell>
          <cell r="J32">
            <v>3402.94</v>
          </cell>
          <cell r="K32" t="str">
            <v>13,88</v>
          </cell>
          <cell r="L32">
            <v>3071.05</v>
          </cell>
          <cell r="M32"/>
        </row>
        <row r="33">
          <cell r="B33" t="str">
            <v>4.8</v>
          </cell>
          <cell r="C33" t="str">
            <v>05.001.0145-0</v>
          </cell>
          <cell r="D33" t="str">
            <v>05.001.0145-A</v>
          </cell>
          <cell r="E33" t="str">
            <v>EMOP</v>
          </cell>
          <cell r="F33" t="str">
            <v>ARRANCAMENTO DE APARELHOS SANITARIOS</v>
          </cell>
          <cell r="G33" t="str">
            <v>UN</v>
          </cell>
          <cell r="H33">
            <v>10</v>
          </cell>
          <cell r="I33">
            <v>24.77</v>
          </cell>
          <cell r="J33">
            <v>247.7</v>
          </cell>
          <cell r="K33">
            <v>21.47</v>
          </cell>
          <cell r="L33">
            <v>214.7</v>
          </cell>
          <cell r="M33"/>
        </row>
        <row r="34">
          <cell r="B34" t="str">
            <v>4.9</v>
          </cell>
          <cell r="C34" t="str">
            <v>05.041.0875-0</v>
          </cell>
          <cell r="D34" t="str">
            <v>05.041.0875-A</v>
          </cell>
          <cell r="E34" t="str">
            <v>EMOP</v>
          </cell>
          <cell r="F34" t="str">
            <v>RASPAGEM,CALAFETACAO E APLICACAO DE TRES DEMAOS DE RESINA LIQUIDA A BASE DE UREIA-FORMOL,EM TACOS OU SOALHO DE MADEIRA</v>
          </cell>
          <cell r="G34" t="str">
            <v>M2</v>
          </cell>
          <cell r="H34">
            <v>481.94</v>
          </cell>
          <cell r="I34">
            <v>55</v>
          </cell>
          <cell r="J34">
            <v>26506.7</v>
          </cell>
          <cell r="K34">
            <v>55</v>
          </cell>
          <cell r="L34">
            <v>26506.7</v>
          </cell>
          <cell r="M34"/>
        </row>
        <row r="35">
          <cell r="B35" t="str">
            <v>4.10</v>
          </cell>
          <cell r="C35" t="str">
            <v>05.042.0880-0</v>
          </cell>
          <cell r="D35" t="str">
            <v>05.042.0880-A</v>
          </cell>
          <cell r="E35" t="str">
            <v>EMOP</v>
          </cell>
          <cell r="F35" t="str">
            <v>ENCERAMENTO DE PISO DE QUALQUER NATUREZA,UMA DEMAO</v>
          </cell>
          <cell r="G35" t="str">
            <v>M2</v>
          </cell>
          <cell r="H35">
            <v>469.82</v>
          </cell>
          <cell r="I35">
            <v>7.01</v>
          </cell>
          <cell r="J35">
            <v>3293.43</v>
          </cell>
          <cell r="K35">
            <v>6.43</v>
          </cell>
          <cell r="L35">
            <v>3020.94</v>
          </cell>
          <cell r="M35"/>
        </row>
        <row r="36">
          <cell r="B36" t="str">
            <v>4.11</v>
          </cell>
          <cell r="C36" t="str">
            <v>05.007.0007-0</v>
          </cell>
          <cell r="D36" t="str">
            <v>05.007.0007-A</v>
          </cell>
          <cell r="E36" t="str">
            <v>EMOP</v>
          </cell>
          <cell r="F36" t="str">
            <v>LOCACAO DE PASSARELA METALICA,PERFURADA,PARA ANDAIME METALICO TUBULAR,INCLUSIVE TRANSPORTE,CARGA E DESCARGA,EXCLUSIVE ANDAIME TUBULAR E MOVIMENTACAO (VIDE ITEM 05.008.0008)</v>
          </cell>
          <cell r="G36" t="str">
            <v>M2XMES</v>
          </cell>
          <cell r="H36">
            <v>50.65</v>
          </cell>
          <cell r="I36">
            <v>88.2</v>
          </cell>
          <cell r="J36">
            <v>4467.33</v>
          </cell>
          <cell r="K36">
            <v>88.2</v>
          </cell>
          <cell r="L36">
            <v>4467.33</v>
          </cell>
        </row>
        <row r="37">
          <cell r="B37" t="str">
            <v>4.12</v>
          </cell>
          <cell r="C37" t="str">
            <v>05.008.0008-1</v>
          </cell>
          <cell r="D37" t="str">
            <v>05.008.0008-B</v>
          </cell>
          <cell r="E37" t="str">
            <v>EMOP</v>
          </cell>
          <cell r="F37" t="str">
            <v>MOVIMENTACAO VERTICAL OU HORIZONTAL DE PLATAFORMA OU PASSARELA</v>
          </cell>
          <cell r="G37" t="str">
            <v>M2</v>
          </cell>
          <cell r="H37">
            <v>861.8</v>
          </cell>
          <cell r="I37">
            <v>0.68</v>
          </cell>
          <cell r="J37">
            <v>586.02</v>
          </cell>
          <cell r="K37">
            <v>0.59</v>
          </cell>
          <cell r="L37">
            <v>508.46</v>
          </cell>
        </row>
        <row r="38">
          <cell r="B38" t="str">
            <v>4.13</v>
          </cell>
          <cell r="C38" t="str">
            <v>05.001.0171-0</v>
          </cell>
          <cell r="D38" t="str">
            <v>05.001.0171-0</v>
          </cell>
          <cell r="E38" t="str">
            <v>EMOP</v>
          </cell>
          <cell r="F38" t="str">
            <v>TRANSPORTE HORIZONTAL DE MATERIAL DE 1ªCATEGORIA OU ENTULHO,EM CARRINHOS,A 20,00M DE DISTANCIA,INCLUSIVE CARGA A PA</v>
          </cell>
          <cell r="G38" t="str">
            <v>M3</v>
          </cell>
          <cell r="H38">
            <v>24.45</v>
          </cell>
          <cell r="I38">
            <v>29.11</v>
          </cell>
          <cell r="J38">
            <v>711.73</v>
          </cell>
          <cell r="K38">
            <v>29.11</v>
          </cell>
          <cell r="L38">
            <v>711.73</v>
          </cell>
        </row>
        <row r="39">
          <cell r="B39" t="str">
            <v>4.14</v>
          </cell>
          <cell r="C39" t="str">
            <v>06.016.0053-0</v>
          </cell>
          <cell r="D39" t="str">
            <v>06.016.0053-A</v>
          </cell>
          <cell r="E39" t="str">
            <v>EMOP</v>
          </cell>
          <cell r="F39" t="str">
            <v>GRELHA PARA CANALETA DE FERRO FUNDIDO,COM CAIXILHO,COM (40X100)CM,CONFORME ABNT NBR 10160.FORNECIMENTO E ASSENTAMENTO</v>
          </cell>
          <cell r="G39" t="str">
            <v>M</v>
          </cell>
          <cell r="H39">
            <v>10.75</v>
          </cell>
          <cell r="I39">
            <v>252.32</v>
          </cell>
          <cell r="J39">
            <v>2712.44</v>
          </cell>
          <cell r="K39">
            <v>251.88</v>
          </cell>
          <cell r="L39">
            <v>2707.71</v>
          </cell>
        </row>
        <row r="40">
          <cell r="B40" t="str">
            <v>4.15</v>
          </cell>
          <cell r="C40" t="str">
            <v>05.054.0015-0</v>
          </cell>
          <cell r="D40" t="str">
            <v>05.054.0015-A</v>
          </cell>
          <cell r="E40" t="str">
            <v>EMOP</v>
          </cell>
          <cell r="F40" t="str">
            <v>PLACA DE ACRILICO,DESENHADA,INDICANDO SANITARIO MASCULINO OUFEMININO,DE (39X19)CM.FORNECIMENTO E COLOCACAO</v>
          </cell>
          <cell r="G40" t="str">
            <v>UN</v>
          </cell>
          <cell r="H40">
            <v>6</v>
          </cell>
          <cell r="I40">
            <v>232.35</v>
          </cell>
          <cell r="J40">
            <v>1394.1</v>
          </cell>
          <cell r="K40">
            <v>231.58</v>
          </cell>
          <cell r="L40">
            <v>1389.48</v>
          </cell>
        </row>
        <row r="41">
          <cell r="B41" t="str">
            <v>4.16</v>
          </cell>
          <cell r="C41" t="str">
            <v>05.054.0001-0</v>
          </cell>
          <cell r="D41" t="str">
            <v>05.054.0001-A</v>
          </cell>
          <cell r="E41" t="str">
            <v>EMOP</v>
          </cell>
          <cell r="F41" t="str">
            <v>PLACA DE ACRILICO PARA IDENTIFICACAO DE PORTAS,MEDINDO (25X8)CM.FORNECIMENTO E COLOCACAO</v>
          </cell>
          <cell r="G41" t="str">
            <v>UN</v>
          </cell>
          <cell r="H41">
            <v>18</v>
          </cell>
          <cell r="I41">
            <v>40.770000000000003</v>
          </cell>
          <cell r="J41">
            <v>733.86</v>
          </cell>
          <cell r="K41">
            <v>40</v>
          </cell>
          <cell r="L41">
            <v>720</v>
          </cell>
        </row>
        <row r="42">
          <cell r="B42">
            <v>5</v>
          </cell>
          <cell r="C42" t="str">
            <v>REVESTIMENTOS</v>
          </cell>
          <cell r="D42"/>
          <cell r="E42"/>
          <cell r="F42"/>
          <cell r="G42"/>
          <cell r="H42"/>
          <cell r="I42"/>
          <cell r="J42">
            <v>186015.81</v>
          </cell>
          <cell r="K42"/>
          <cell r="L42">
            <v>177509.97</v>
          </cell>
        </row>
        <row r="43">
          <cell r="B43" t="str">
            <v>5.1</v>
          </cell>
          <cell r="C43" t="str">
            <v>13.195.0015-0</v>
          </cell>
          <cell r="D43" t="str">
            <v>13.195.0015-A</v>
          </cell>
          <cell r="E43" t="str">
            <v>EMOP</v>
          </cell>
          <cell r="F43" t="str">
            <v>FORRO DE TABUAS DE MADEIRA DE LEI MACHO-FEMEA,COM 10X1CM,PREGADO EM SARRAFOS DE MADEIRA DE LEI DE 2X10CM, ESPACADOS  DE50CM. FORNECIMENTO E COLOCACAO</v>
          </cell>
          <cell r="G43" t="str">
            <v>M2</v>
          </cell>
          <cell r="H43">
            <v>516.95000000000005</v>
          </cell>
          <cell r="I43">
            <v>186.46</v>
          </cell>
          <cell r="J43">
            <v>96390.49</v>
          </cell>
          <cell r="K43">
            <v>179.2</v>
          </cell>
          <cell r="L43">
            <v>92637.440000000002</v>
          </cell>
        </row>
        <row r="44">
          <cell r="B44" t="str">
            <v>5.2</v>
          </cell>
          <cell r="C44" t="str">
            <v>13.030.0291-0</v>
          </cell>
          <cell r="D44" t="str">
            <v>13.030.0291-A</v>
          </cell>
          <cell r="E44" t="str">
            <v>EMOP</v>
          </cell>
          <cell r="F44" t="str">
            <v>REVESTIMENTO DE PAREDES COM CERAMICA,COM MEDIDAS EM TORNO DE(32X57)CM,ASSENTE CONFORME ITEM 13.025.0058</v>
          </cell>
          <cell r="G44" t="str">
            <v>M2</v>
          </cell>
          <cell r="H44">
            <v>151.24500000000003</v>
          </cell>
          <cell r="I44">
            <v>120.2</v>
          </cell>
          <cell r="J44">
            <v>18179.64</v>
          </cell>
          <cell r="K44">
            <v>112.59</v>
          </cell>
          <cell r="L44">
            <v>17028.669999999998</v>
          </cell>
        </row>
        <row r="45">
          <cell r="B45" t="str">
            <v>5.3</v>
          </cell>
          <cell r="C45" t="str">
            <v>13.001.0026-0</v>
          </cell>
          <cell r="D45" t="str">
            <v>13.001.0026-A</v>
          </cell>
          <cell r="E45" t="str">
            <v>EMOP</v>
          </cell>
          <cell r="F45" t="str">
            <v>EMBOCO COM ARGAMASSA DE CIMENTO E AREIA,NO TRACO 1:3 COM 2CMDE ESPESSURA,INCLUSIVE CHAPISCO DE CIMENTO E AREIA,NO TRACO1:3</v>
          </cell>
          <cell r="G45" t="str">
            <v>M2</v>
          </cell>
          <cell r="H45">
            <v>221.25749999999999</v>
          </cell>
          <cell r="I45">
            <v>38.26</v>
          </cell>
          <cell r="J45">
            <v>8465.31</v>
          </cell>
          <cell r="K45">
            <v>34.71</v>
          </cell>
          <cell r="L45">
            <v>7679.84</v>
          </cell>
        </row>
        <row r="46">
          <cell r="B46" t="str">
            <v>5.4</v>
          </cell>
          <cell r="C46" t="str">
            <v>13.348.0055-0</v>
          </cell>
          <cell r="D46" t="str">
            <v>13.348.0055-A</v>
          </cell>
          <cell r="E46" t="str">
            <v>EMOP</v>
          </cell>
          <cell r="F46" t="str">
            <v>PEITORIL EM GRANITO CINZA ANDORINHA,ESPESSURA DE 2CM,LARGURADE 28CM,ASSENTADO COM NATA DE CIMENTO SOBRE ARGAMASSA DE CIMENTO,SAIBRO E AREIA,NO TRACO 1:3:3 E REJUNTAMENTO COM CIMENTO BRANCO</v>
          </cell>
          <cell r="G46" t="str">
            <v>M</v>
          </cell>
          <cell r="H46">
            <v>50.650000000000006</v>
          </cell>
          <cell r="I46">
            <v>133.24</v>
          </cell>
          <cell r="J46">
            <v>6748.6</v>
          </cell>
          <cell r="K46">
            <v>130.13999999999999</v>
          </cell>
          <cell r="L46">
            <v>6591.59</v>
          </cell>
        </row>
        <row r="47">
          <cell r="B47" t="str">
            <v>5.5</v>
          </cell>
          <cell r="C47" t="str">
            <v>13.301.0510-0</v>
          </cell>
          <cell r="D47" t="str">
            <v>13.301.0510-A</v>
          </cell>
          <cell r="E47" t="str">
            <v>EMOP</v>
          </cell>
          <cell r="F47" t="str">
            <v>RECOMPOSICAO DE PISO DE CONCRETO SIMPLES,COM RESISTENCIA DE15MPA,COM 8CM DE ESPESSURA,INCLUSIVE DEMOLICAO COM EQUIPAMENTO DE AR COMPRIMIDO DO PISO</v>
          </cell>
          <cell r="G47" t="str">
            <v>M2</v>
          </cell>
          <cell r="H47">
            <v>34.5</v>
          </cell>
          <cell r="I47">
            <v>122.19</v>
          </cell>
          <cell r="J47">
            <v>4215.55</v>
          </cell>
          <cell r="K47">
            <v>113.09</v>
          </cell>
          <cell r="L47">
            <v>3901.6</v>
          </cell>
        </row>
        <row r="48">
          <cell r="B48" t="str">
            <v>5.6</v>
          </cell>
          <cell r="C48" t="str">
            <v>13.331.0015-0</v>
          </cell>
          <cell r="D48" t="str">
            <v>13.331.0015-A</v>
          </cell>
          <cell r="E48" t="str">
            <v>EMOP</v>
          </cell>
          <cell r="F48" t="str">
            <v>REVESTIMENTO DE PISO CERAMICO EM PORCELANATO,ACABAMENTO DA BORDA RETIFICADO,NO FORMATO (60X60)CM,PARA USO EM AREAS COMERCIAIS COM TRAFEGO INTENSO,CONFORME ABNT NBR ISO 13006,ASSENTE EM SUPERFICIE NIVELADA COM ARGAMASSA COLANTE E REJUNTAMENTO PRONTO</v>
          </cell>
          <cell r="G48" t="str">
            <v>M2</v>
          </cell>
          <cell r="H48">
            <v>192.64000000000004</v>
          </cell>
          <cell r="I48">
            <v>148.52000000000001</v>
          </cell>
          <cell r="J48">
            <v>28610.89</v>
          </cell>
          <cell r="K48">
            <v>140.91999999999999</v>
          </cell>
          <cell r="L48">
            <v>27146.82</v>
          </cell>
        </row>
        <row r="49">
          <cell r="B49" t="str">
            <v>5.7</v>
          </cell>
          <cell r="C49" t="str">
            <v>13.331.0051-0</v>
          </cell>
          <cell r="D49" t="str">
            <v>13.331.0051-A</v>
          </cell>
          <cell r="E49" t="str">
            <v>EMOP</v>
          </cell>
          <cell r="F49" t="str">
            <v>RODAPE DE CERAMICA EM PORCELANATO,COM 7,5 A 10CM DE ALTURA,ASSENTE CONFORME ITEM 13.025.0058.FEITO A PARTIR DE PLACA DEPORCELANATO COM AREA INFERIOR A 1,00M2</v>
          </cell>
          <cell r="G49" t="str">
            <v>M</v>
          </cell>
          <cell r="H49">
            <v>67.350000000000009</v>
          </cell>
          <cell r="I49">
            <v>43.61</v>
          </cell>
          <cell r="J49">
            <v>2937.13</v>
          </cell>
          <cell r="K49">
            <v>39.28</v>
          </cell>
          <cell r="L49">
            <v>2645.5</v>
          </cell>
        </row>
        <row r="50">
          <cell r="B50" t="str">
            <v>5.8</v>
          </cell>
          <cell r="C50" t="str">
            <v>96122</v>
          </cell>
          <cell r="D50" t="str">
            <v>96122</v>
          </cell>
          <cell r="E50" t="str">
            <v>SINAPI</v>
          </cell>
          <cell r="F50" t="str">
            <v>ACABAMENTOS PARA FORRO (RODA-FORRO EM MADEIRA PINUS). AF_08/2023</v>
          </cell>
          <cell r="G50" t="str">
            <v>M</v>
          </cell>
          <cell r="H50">
            <v>335.05</v>
          </cell>
          <cell r="I50" t="str">
            <v>61,09</v>
          </cell>
          <cell r="J50">
            <v>20468.2</v>
          </cell>
          <cell r="K50" t="str">
            <v>59,33</v>
          </cell>
          <cell r="L50">
            <v>19878.509999999998</v>
          </cell>
        </row>
        <row r="51">
          <cell r="B51" t="str">
            <v>5.9</v>
          </cell>
          <cell r="C51" t="str">
            <v>05.021.0150-0</v>
          </cell>
          <cell r="D51" t="str">
            <v>05.021.0150-A</v>
          </cell>
          <cell r="E51" t="str">
            <v>EMOP</v>
          </cell>
          <cell r="F51" t="str">
            <v>FITA ANTIDERRAPANTE AUTOADESIVA NA COR PRETA,PARA AREAS INTERNAS E EXTERNAS,COM LARGURA DE 50MM.FORNECIMENTO E COLOCACAO</v>
          </cell>
          <cell r="G51" t="str">
            <v>M</v>
          </cell>
          <cell r="H51">
            <v>63</v>
          </cell>
          <cell r="I51">
            <v>6.36</v>
          </cell>
          <cell r="J51">
            <v>400.68</v>
          </cell>
          <cell r="K51">
            <v>6.14</v>
          </cell>
          <cell r="L51">
            <v>386.82</v>
          </cell>
          <cell r="M51"/>
        </row>
        <row r="52">
          <cell r="B52">
            <v>6</v>
          </cell>
          <cell r="C52" t="str">
            <v>ESQUADRIAS</v>
          </cell>
          <cell r="D52"/>
          <cell r="E52"/>
          <cell r="F52"/>
          <cell r="G52"/>
          <cell r="H52"/>
          <cell r="I52"/>
          <cell r="J52">
            <v>277069.17</v>
          </cell>
          <cell r="K52"/>
          <cell r="L52">
            <v>274856.15999999997</v>
          </cell>
        </row>
        <row r="53">
          <cell r="B53" t="str">
            <v>6.1</v>
          </cell>
          <cell r="C53" t="str">
            <v>100667</v>
          </cell>
          <cell r="D53" t="str">
            <v>100667</v>
          </cell>
          <cell r="E53" t="str">
            <v>SINAPI</v>
          </cell>
          <cell r="F53" t="str">
            <v>JANELA DE MADEIRA (IMBUIA/CEDRO OU EQUIV.) DE ABRIR COM 4 FOLHAS (2 VENEZIANAS E 2 GUILHOTINAS PARA VIDRO), COM BATENTE, ALIZAR E FERRAGENS. EXCLUSIVE VIDROS, ACABAMENTO E CONTRAMARCO. FORNECIMENTO E INSTALAÇÃO. AF_12/2019</v>
          </cell>
          <cell r="G53" t="str">
            <v>M2</v>
          </cell>
          <cell r="H53">
            <v>153.44000000000003</v>
          </cell>
          <cell r="I53" t="str">
            <v>1.598,68</v>
          </cell>
          <cell r="J53">
            <v>245301.45</v>
          </cell>
          <cell r="K53" t="str">
            <v>1.589,05</v>
          </cell>
          <cell r="L53">
            <v>243823.83</v>
          </cell>
        </row>
        <row r="54">
          <cell r="B54" t="str">
            <v>6.2</v>
          </cell>
          <cell r="C54" t="str">
            <v>100668</v>
          </cell>
          <cell r="D54" t="str">
            <v>100668</v>
          </cell>
          <cell r="E54" t="str">
            <v>SINAPI</v>
          </cell>
          <cell r="F54" t="str">
            <v>JANELA DE MADEIRA (CEDRINHO/ANGELIM OU EQUIV.) TIPO MAXIM-AR, PARA VIDRO, COM BATENTE, ALIZAR E FERRAGENS. EXCLUSIVE VIDRO, ACABAMENTO E CONTRAMARCO. FORNECIMENTO E INSTALAÇÃO. AF_12/2019</v>
          </cell>
          <cell r="G54" t="str">
            <v>M2</v>
          </cell>
          <cell r="H54">
            <v>2.52</v>
          </cell>
          <cell r="I54" t="str">
            <v>1.941,36</v>
          </cell>
          <cell r="J54">
            <v>4892.22</v>
          </cell>
          <cell r="K54" t="str">
            <v>1.919,68</v>
          </cell>
          <cell r="L54">
            <v>4837.59</v>
          </cell>
        </row>
        <row r="55">
          <cell r="B55" t="str">
            <v>6.3</v>
          </cell>
          <cell r="C55" t="str">
            <v>14.004.0015-0</v>
          </cell>
          <cell r="D55" t="str">
            <v>14.004.0015-A</v>
          </cell>
          <cell r="E55" t="str">
            <v>EMOP</v>
          </cell>
          <cell r="F55" t="str">
            <v>VIDRO PLANO TRANSPARENTE,COMUM,DE 4MM DE ESPESSURA.FORNECIMENTO E COLOCACAO</v>
          </cell>
          <cell r="G55" t="str">
            <v>M2</v>
          </cell>
          <cell r="H55">
            <v>177.82923648924407</v>
          </cell>
          <cell r="I55">
            <v>140.88</v>
          </cell>
          <cell r="J55">
            <v>25052.58</v>
          </cell>
          <cell r="K55">
            <v>137.91</v>
          </cell>
          <cell r="L55">
            <v>24524.43</v>
          </cell>
        </row>
        <row r="56">
          <cell r="B56" t="str">
            <v>6.4</v>
          </cell>
          <cell r="C56" t="str">
            <v>14.002.0081-0</v>
          </cell>
          <cell r="D56" t="str">
            <v>14.002.0081-A</v>
          </cell>
          <cell r="E56" t="str">
            <v>EMOP</v>
          </cell>
          <cell r="F56" t="str">
            <v>PORTAO DE FERRO, ATE 1,00M DE LARGURA, EM BARRAS DE 1/2", ESPACADAS DE 10CM, ENTRE EIXOS, CONTORNO E MARCO EM BARRAS DE1.1/2"X1/2", COM UMA FAIXA HORIZONTAL EM CHAPA DE FERRO DE1/8" ESPESSURA,EXCLUSIVE FECHADURA.FORNECIMENTO E COLOCACAO</v>
          </cell>
          <cell r="G56" t="str">
            <v>M2</v>
          </cell>
          <cell r="H56">
            <v>1.2</v>
          </cell>
          <cell r="I56">
            <v>1519.1</v>
          </cell>
          <cell r="J56">
            <v>1822.92</v>
          </cell>
          <cell r="K56">
            <v>1391.93</v>
          </cell>
          <cell r="L56">
            <v>1670.31</v>
          </cell>
        </row>
        <row r="57">
          <cell r="B57">
            <v>7</v>
          </cell>
          <cell r="C57" t="str">
            <v>INSTALAÇÕES ELÉTRICAS E HIDROSSANITÁRIAS</v>
          </cell>
          <cell r="D57"/>
          <cell r="E57"/>
          <cell r="F57"/>
          <cell r="G57"/>
          <cell r="H57"/>
          <cell r="I57"/>
          <cell r="J57">
            <v>39081.959999999992</v>
          </cell>
          <cell r="K57"/>
          <cell r="L57">
            <v>36297.18</v>
          </cell>
        </row>
        <row r="58">
          <cell r="B58" t="str">
            <v>7.1</v>
          </cell>
          <cell r="C58" t="str">
            <v>15.036.0052-0</v>
          </cell>
          <cell r="D58" t="str">
            <v>15.036.0052-A</v>
          </cell>
          <cell r="E58" t="str">
            <v>EMOP</v>
          </cell>
          <cell r="F58" t="str">
            <v>TUBO DE PVC RIGIDO DE 100MM,SOLDAVEL,INCLUSIVE CONEXOES E EMENDAS,EXCLUSIVE ABERTURA E FECHAMENTO DE RASGO.FORNECIMENTOE ASSENTAMENTO</v>
          </cell>
          <cell r="G58" t="str">
            <v>M</v>
          </cell>
          <cell r="H58">
            <v>149</v>
          </cell>
          <cell r="I58">
            <v>34.130000000000003</v>
          </cell>
          <cell r="J58">
            <v>5085.37</v>
          </cell>
          <cell r="K58">
            <v>31.82</v>
          </cell>
          <cell r="L58">
            <v>4741.18</v>
          </cell>
        </row>
        <row r="59">
          <cell r="B59" t="str">
            <v>7.2</v>
          </cell>
          <cell r="C59" t="str">
            <v>103782</v>
          </cell>
          <cell r="D59" t="str">
            <v>103782</v>
          </cell>
          <cell r="E59" t="str">
            <v>SINAPI</v>
          </cell>
          <cell r="F59" t="str">
            <v>LUMINÁRIA TIPO PLAFON CIRCULAR, DE SOBREPOR, COM LED DE 12/13 W - FORNECIMENTO E INSTALAÇÃO. AF_03/2022</v>
          </cell>
          <cell r="G59" t="str">
            <v>UN</v>
          </cell>
          <cell r="H59">
            <v>15</v>
          </cell>
          <cell r="I59" t="str">
            <v>38,38</v>
          </cell>
          <cell r="J59">
            <v>575.70000000000005</v>
          </cell>
          <cell r="K59" t="str">
            <v>35,88</v>
          </cell>
          <cell r="L59">
            <v>538.20000000000005</v>
          </cell>
        </row>
        <row r="60">
          <cell r="B60" t="str">
            <v>7.3</v>
          </cell>
          <cell r="C60" t="str">
            <v>15.019.0020-0</v>
          </cell>
          <cell r="D60" t="str">
            <v>15.019.0020-A</v>
          </cell>
          <cell r="E60" t="str">
            <v>EMOP</v>
          </cell>
          <cell r="F60" t="str">
            <v>INTERRUPTOR DE EMBUTIR COM 1 TECLA SIMPLES FOSFORESCENTE E PLACA.FORNECIMENTO E COLOCACAO</v>
          </cell>
          <cell r="G60" t="str">
            <v>UN</v>
          </cell>
          <cell r="H60">
            <v>20</v>
          </cell>
          <cell r="I60">
            <v>9.52</v>
          </cell>
          <cell r="J60">
            <v>190.4</v>
          </cell>
          <cell r="K60">
            <v>8.75</v>
          </cell>
          <cell r="L60">
            <v>175</v>
          </cell>
        </row>
        <row r="61">
          <cell r="B61" t="str">
            <v>7.4</v>
          </cell>
          <cell r="C61" t="str">
            <v>15.019.0025-0</v>
          </cell>
          <cell r="D61" t="str">
            <v>15.019.0025-A</v>
          </cell>
          <cell r="E61" t="str">
            <v>EMOP</v>
          </cell>
          <cell r="F61" t="str">
            <v>INTERRUPTOR DE EMBUTIR COM 2 TECLAS SIMPLES FOSFORESCENTES EPLACA.FORNECIMENTO E COLOCACAO</v>
          </cell>
          <cell r="G61" t="str">
            <v>UN</v>
          </cell>
          <cell r="H61">
            <v>3</v>
          </cell>
          <cell r="I61">
            <v>15.17</v>
          </cell>
          <cell r="J61">
            <v>45.51</v>
          </cell>
          <cell r="K61">
            <v>14.22</v>
          </cell>
          <cell r="L61">
            <v>42.66</v>
          </cell>
        </row>
        <row r="62">
          <cell r="B62" t="str">
            <v>7.5</v>
          </cell>
          <cell r="C62" t="str">
            <v>15.019.0030-0</v>
          </cell>
          <cell r="D62" t="str">
            <v>15.019.0030-A</v>
          </cell>
          <cell r="E62" t="str">
            <v>EMOP</v>
          </cell>
          <cell r="F62" t="str">
            <v>INTERRUPTOR DE EMBUTIR COM 3 TECLAS SIMPLES FOSFORESCENTES EPLACA.FORNECIMENTO E COLOCACAO</v>
          </cell>
          <cell r="G62" t="str">
            <v>UN</v>
          </cell>
          <cell r="H62">
            <v>5</v>
          </cell>
          <cell r="I62">
            <v>19.89</v>
          </cell>
          <cell r="J62">
            <v>99.45</v>
          </cell>
          <cell r="K62">
            <v>18.739999999999998</v>
          </cell>
          <cell r="L62">
            <v>93.7</v>
          </cell>
        </row>
        <row r="63">
          <cell r="B63" t="str">
            <v>7.6</v>
          </cell>
          <cell r="C63" t="str">
            <v>15.019.0050-0</v>
          </cell>
          <cell r="D63" t="str">
            <v>15.019.0050-A</v>
          </cell>
          <cell r="E63" t="str">
            <v>EMOP</v>
          </cell>
          <cell r="F63" t="str">
            <v>TOMADA ELETRICA 2P+T,10A/250V,PADRAO BRASILEIRO,DE EMBUTIR,COM PLACA 4"X2".FORNECIMENTO E COLOCACAO.</v>
          </cell>
          <cell r="G63" t="str">
            <v>UN</v>
          </cell>
          <cell r="H63">
            <v>135</v>
          </cell>
          <cell r="I63">
            <v>11.83</v>
          </cell>
          <cell r="J63">
            <v>1597.05</v>
          </cell>
          <cell r="K63">
            <v>11.06</v>
          </cell>
          <cell r="L63">
            <v>1493.1</v>
          </cell>
        </row>
        <row r="64">
          <cell r="B64" t="str">
            <v>7.7</v>
          </cell>
          <cell r="C64" t="str">
            <v>15.007.0570-0</v>
          </cell>
          <cell r="D64" t="str">
            <v>15.007.0570-A</v>
          </cell>
          <cell r="E64" t="str">
            <v>EMOP</v>
          </cell>
          <cell r="F64" t="str">
            <v>DISJUNTOR TERMOMAGNETICO,MONOPOLAR,DE 10 A 32A,3KA,MODELO DIN,TIPO C.FORNECIMENTO E COLOCACAO</v>
          </cell>
          <cell r="G64" t="str">
            <v>UN</v>
          </cell>
          <cell r="H64">
            <v>31</v>
          </cell>
          <cell r="I64">
            <v>14.09</v>
          </cell>
          <cell r="J64">
            <v>436.79</v>
          </cell>
          <cell r="K64">
            <v>13.26</v>
          </cell>
          <cell r="L64">
            <v>411.06</v>
          </cell>
        </row>
        <row r="65">
          <cell r="B65" t="str">
            <v>7.8</v>
          </cell>
          <cell r="C65" t="str">
            <v>15.007.0576-0</v>
          </cell>
          <cell r="D65" t="str">
            <v>15.007.0576-A</v>
          </cell>
          <cell r="E65" t="str">
            <v>EMOP</v>
          </cell>
          <cell r="F65" t="str">
            <v>DISJUNTOR TERMOMAGNETICO,BIPOLAR,DE 40 A 63A,3KA,MODELO DIN,TIPO C.FORNECIMENTO E COLOCACAO</v>
          </cell>
          <cell r="G65" t="str">
            <v>UN</v>
          </cell>
          <cell r="H65">
            <v>4</v>
          </cell>
          <cell r="I65">
            <v>38.64</v>
          </cell>
          <cell r="J65">
            <v>154.56</v>
          </cell>
          <cell r="K65">
            <v>37.729999999999997</v>
          </cell>
          <cell r="L65">
            <v>150.91999999999999</v>
          </cell>
        </row>
        <row r="66">
          <cell r="B66" t="str">
            <v>7.9</v>
          </cell>
          <cell r="C66" t="str">
            <v>15.007.0605-0</v>
          </cell>
          <cell r="D66" t="str">
            <v>15.007.0605-A</v>
          </cell>
          <cell r="E66" t="str">
            <v>EMOP</v>
          </cell>
          <cell r="F66" t="str">
            <v>DISJUNTOR TERMOMAGNETICO,TRIPOLAR,DE 80 A 100A,3KA,MODELO DIN,TIPO C.FORNECIMENTO E COLOCACAO</v>
          </cell>
          <cell r="G66" t="str">
            <v>UN</v>
          </cell>
          <cell r="H66">
            <v>1</v>
          </cell>
          <cell r="I66">
            <v>125.88</v>
          </cell>
          <cell r="J66">
            <v>125.88</v>
          </cell>
          <cell r="K66">
            <v>124.89</v>
          </cell>
          <cell r="L66">
            <v>124.89</v>
          </cell>
        </row>
        <row r="67">
          <cell r="B67" t="str">
            <v>7.10</v>
          </cell>
          <cell r="C67" t="str">
            <v>15.007.0608-0</v>
          </cell>
          <cell r="D67" t="str">
            <v>15.007.0608-A</v>
          </cell>
          <cell r="E67" t="str">
            <v>EMOP</v>
          </cell>
          <cell r="F67" t="str">
            <v>DISJUNTOR TERMOMAGNETICO,TRIPOLAR,DE 125 A 160A,50KA,MODELOCAIXA MOLDADA,TIPO C.FORNECIMENTO E COLOCACAO</v>
          </cell>
          <cell r="G67" t="str">
            <v>UN</v>
          </cell>
          <cell r="H67">
            <v>2</v>
          </cell>
          <cell r="I67">
            <v>331.57</v>
          </cell>
          <cell r="J67">
            <v>663.14</v>
          </cell>
          <cell r="K67">
            <v>330.58</v>
          </cell>
          <cell r="L67">
            <v>661.16</v>
          </cell>
        </row>
        <row r="68">
          <cell r="B68" t="str">
            <v>7.11</v>
          </cell>
          <cell r="C68" t="str">
            <v>101880</v>
          </cell>
          <cell r="D68" t="str">
            <v>101880</v>
          </cell>
          <cell r="E68" t="str">
            <v>SINAPI</v>
          </cell>
          <cell r="F68" t="str">
            <v>QUADRO DE DISTRIBUIÇÃO DE ENERGIA EM CHAPA DE AÇO GALVANIZADO, DE EMBUTIR, COM BARRAMENTO TRIFÁSICO, PARA 30 DISJUNTORES DIN 150A - FORNECIMENTO E INSTALAÇÃO. AF_10/2020</v>
          </cell>
          <cell r="G68" t="str">
            <v>UN</v>
          </cell>
          <cell r="H68">
            <v>1</v>
          </cell>
          <cell r="I68" t="str">
            <v>619,94</v>
          </cell>
          <cell r="J68">
            <v>619.94000000000005</v>
          </cell>
          <cell r="K68" t="str">
            <v>615,07</v>
          </cell>
          <cell r="L68">
            <v>615.07000000000005</v>
          </cell>
        </row>
        <row r="69">
          <cell r="B69" t="str">
            <v>7.12</v>
          </cell>
          <cell r="C69" t="str">
            <v>101879</v>
          </cell>
          <cell r="D69" t="str">
            <v>101879</v>
          </cell>
          <cell r="E69" t="str">
            <v>SINAPI</v>
          </cell>
          <cell r="F69" t="str">
            <v>QUADRO DE DISTRIBUIÇÃO DE ENERGIA EM CHAPA DE AÇO GALVANIZADO, DE EMBUTIR, COM BARRAMENTO TRIFÁSICO, PARA 24 DISJUNTORES DIN 100A - FORNECIMENTO E INSTALAÇÃO. AF_10/2020</v>
          </cell>
          <cell r="G69" t="str">
            <v>UN</v>
          </cell>
          <cell r="H69">
            <v>1</v>
          </cell>
          <cell r="I69" t="str">
            <v>537,66</v>
          </cell>
          <cell r="J69">
            <v>537.66</v>
          </cell>
          <cell r="K69" t="str">
            <v>533,59</v>
          </cell>
          <cell r="L69">
            <v>533.59</v>
          </cell>
        </row>
        <row r="70">
          <cell r="B70" t="str">
            <v>7.13</v>
          </cell>
          <cell r="C70" t="str">
            <v>15.019.0090-0</v>
          </cell>
          <cell r="D70" t="str">
            <v>15.019.0090-A</v>
          </cell>
          <cell r="E70" t="str">
            <v>EMOP</v>
          </cell>
          <cell r="F70" t="str">
            <v>TOMADA TIPO RJ45,DE SOBREPOR,COMPLETA,PARA LOGICA.FORNECIMENTO E COLOCACAO</v>
          </cell>
          <cell r="G70" t="str">
            <v>UN</v>
          </cell>
          <cell r="H70">
            <v>1</v>
          </cell>
          <cell r="I70">
            <v>28.12</v>
          </cell>
          <cell r="J70">
            <v>28.12</v>
          </cell>
          <cell r="K70">
            <v>27.35</v>
          </cell>
          <cell r="L70">
            <v>27.35</v>
          </cell>
        </row>
        <row r="71">
          <cell r="B71" t="str">
            <v>7.14</v>
          </cell>
          <cell r="C71" t="str">
            <v>15.019.0110-0</v>
          </cell>
          <cell r="D71" t="str">
            <v>15.019.0110-A</v>
          </cell>
          <cell r="E71" t="str">
            <v>EMOP</v>
          </cell>
          <cell r="F71" t="str">
            <v>TOMADA COAXIAL,DE EMBUTIR,COMPLETA,PARA ANTENA DE TV.FORNECIMENTO E COLOCACAO</v>
          </cell>
          <cell r="G71" t="str">
            <v>UN</v>
          </cell>
          <cell r="H71">
            <v>1</v>
          </cell>
          <cell r="I71">
            <v>14.48</v>
          </cell>
          <cell r="J71">
            <v>14.48</v>
          </cell>
          <cell r="K71">
            <v>13.71</v>
          </cell>
          <cell r="L71">
            <v>13.71</v>
          </cell>
        </row>
        <row r="72">
          <cell r="B72" t="str">
            <v>7.15</v>
          </cell>
          <cell r="C72" t="str">
            <v>15.020.0158-0</v>
          </cell>
          <cell r="D72" t="str">
            <v>15.020.0158-A</v>
          </cell>
          <cell r="E72" t="str">
            <v>EMOP</v>
          </cell>
          <cell r="F72" t="str">
            <v>LAMPADA LED,BULBO,A60,10,5W,100/240V,BASE E-27.FORNECIMENTOE COLOCACAO</v>
          </cell>
          <cell r="G72" t="str">
            <v>UN</v>
          </cell>
          <cell r="H72">
            <v>4</v>
          </cell>
          <cell r="I72">
            <v>27.16</v>
          </cell>
          <cell r="J72">
            <v>108.64</v>
          </cell>
          <cell r="K72">
            <v>26.97</v>
          </cell>
          <cell r="L72">
            <v>107.88</v>
          </cell>
        </row>
        <row r="73">
          <cell r="B73" t="str">
            <v>7.16</v>
          </cell>
          <cell r="C73" t="str">
            <v>15.003.0405-0</v>
          </cell>
          <cell r="D73" t="str">
            <v>15.003.0405-A</v>
          </cell>
          <cell r="E73" t="str">
            <v>EMOP</v>
          </cell>
          <cell r="F73" t="str">
            <v>ASSENTAMENTO DE BACIA SANITARIA (EXCLUSIVE FORNECIMENTO DO APARELHO),INCLUSIVE MATERIAIS NECESSARIOS</v>
          </cell>
          <cell r="G73" t="str">
            <v>UN</v>
          </cell>
          <cell r="H73">
            <v>10</v>
          </cell>
          <cell r="I73">
            <v>63.43</v>
          </cell>
          <cell r="J73">
            <v>634.29999999999995</v>
          </cell>
          <cell r="K73">
            <v>56.83</v>
          </cell>
          <cell r="L73">
            <v>568.29999999999995</v>
          </cell>
        </row>
        <row r="74">
          <cell r="B74" t="str">
            <v>7.17</v>
          </cell>
          <cell r="C74" t="str">
            <v>15.004.0070-0</v>
          </cell>
          <cell r="D74" t="str">
            <v>15.004.0070-A</v>
          </cell>
          <cell r="E74" t="str">
            <v>EMOP</v>
          </cell>
          <cell r="F74" t="str">
            <v>INSTALACAO E ASSENTAMENTO DE TANQUE DE SERVICO (EXCLUSIVE FORNECIMENTO DO APARELHO),COMPREENDENDO:3,00M DE TUBO DE PVC DE 25MM,3,00M DE TUBO DE PVC DE 50MM E CONEXOES</v>
          </cell>
          <cell r="G74" t="str">
            <v>UN</v>
          </cell>
          <cell r="H74">
            <v>1</v>
          </cell>
          <cell r="I74">
            <v>310.68</v>
          </cell>
          <cell r="J74">
            <v>310.68</v>
          </cell>
          <cell r="K74">
            <v>278.2</v>
          </cell>
          <cell r="L74">
            <v>278.2</v>
          </cell>
        </row>
        <row r="75">
          <cell r="B75" t="str">
            <v>7.18</v>
          </cell>
          <cell r="C75" t="str">
            <v>15.003.0360-0</v>
          </cell>
          <cell r="D75" t="str">
            <v>15.003.0360-A</v>
          </cell>
          <cell r="E75" t="str">
            <v>EMOP</v>
          </cell>
          <cell r="F75" t="str">
            <v>ASSENTAMENTO DE LAVATORIO(EXCLUSIVE FORNECIMENTO DO APARELHO),INCLUSIVE MATERIAIS NECESSARIOS</v>
          </cell>
          <cell r="G75" t="str">
            <v>UN</v>
          </cell>
          <cell r="H75">
            <v>6</v>
          </cell>
          <cell r="I75">
            <v>96.92</v>
          </cell>
          <cell r="J75">
            <v>581.52</v>
          </cell>
          <cell r="K75">
            <v>85.42</v>
          </cell>
          <cell r="L75">
            <v>512.52</v>
          </cell>
        </row>
        <row r="76">
          <cell r="B76" t="str">
            <v>7.19</v>
          </cell>
          <cell r="C76" t="str">
            <v>15.005.0215-0</v>
          </cell>
          <cell r="D76" t="str">
            <v>15.005.0215-A</v>
          </cell>
          <cell r="E76" t="str">
            <v>EMOP</v>
          </cell>
          <cell r="F76" t="str">
            <v>ASSENTAMENTO DE AR CONDICIONADO SPLIT DE 9000 A 30000 BTU/H,COM 1 CONDENSADOR E 1 EVAPORADOR,CONFORME ABNT NBR 16655,(VIDE FORNECIMENTO DO APARELHO NA FAMILIA 18.030) INCLUSIVE ACESSORIOS DE FIXACAO,EXCLUSIVE ALIMENTACAO ELETRICA E INTERLIGACAO AO CONDENS</v>
          </cell>
          <cell r="G76" t="str">
            <v>UN</v>
          </cell>
          <cell r="H76">
            <v>1</v>
          </cell>
          <cell r="I76">
            <v>334.63</v>
          </cell>
          <cell r="J76">
            <v>334.63</v>
          </cell>
          <cell r="K76">
            <v>308.99</v>
          </cell>
          <cell r="L76">
            <v>308.99</v>
          </cell>
        </row>
        <row r="77">
          <cell r="B77" t="str">
            <v>7.20</v>
          </cell>
          <cell r="C77" t="str">
            <v>15.005.0215-0</v>
          </cell>
          <cell r="D77" t="str">
            <v>15.005.0215-A</v>
          </cell>
          <cell r="E77" t="str">
            <v>EMOP</v>
          </cell>
          <cell r="F77" t="str">
            <v>ASSENTAMENTO DE AR CONDICIONADO SPLIT DE 9000 A 30000 BTU/H,COM 1 CONDENSADOR E 1 EVAPORADOR,CONFORME ABNT NBR 16655,(VIDE FORNECIMENTO DO APARELHO NA FAMILIA 18.030) INCLUSIVE ACESSORIOS DE FIXACAO,EXCLUSIVE ALIMENTACAO ELETRICA E INTERLIGACAO AO CONDENS</v>
          </cell>
          <cell r="G77" t="str">
            <v>UN</v>
          </cell>
          <cell r="H77">
            <v>2</v>
          </cell>
          <cell r="I77">
            <v>334.63</v>
          </cell>
          <cell r="J77">
            <v>669.26</v>
          </cell>
          <cell r="K77">
            <v>308.99</v>
          </cell>
          <cell r="L77">
            <v>617.98</v>
          </cell>
        </row>
        <row r="78">
          <cell r="B78" t="str">
            <v>7.21</v>
          </cell>
          <cell r="C78" t="str">
            <v>15.005.0215-0</v>
          </cell>
          <cell r="D78" t="str">
            <v>15.005.0215-A</v>
          </cell>
          <cell r="E78" t="str">
            <v>EMOP</v>
          </cell>
          <cell r="F78" t="str">
            <v>ASSENTAMENTO DE AR CONDICIONADO SPLIT DE 9000 A 30000 BTU/H,COM 1 CONDENSADOR E 1 EVAPORADOR,CONFORME ABNT NBR 16655,(VIDE FORNECIMENTO DO APARELHO NA FAMILIA 18.030) INCLUSIVE ACESSORIOS DE FIXACAO,EXCLUSIVE ALIMENTACAO ELETRICA E INTERLIGACAO AO CONDENS</v>
          </cell>
          <cell r="G78" t="str">
            <v>UN</v>
          </cell>
          <cell r="H78">
            <v>2</v>
          </cell>
          <cell r="I78">
            <v>334.63</v>
          </cell>
          <cell r="J78">
            <v>669.26</v>
          </cell>
          <cell r="K78">
            <v>308.99</v>
          </cell>
          <cell r="L78">
            <v>617.98</v>
          </cell>
        </row>
        <row r="79">
          <cell r="B79" t="str">
            <v>7.22</v>
          </cell>
          <cell r="C79" t="str">
            <v>15.005.0215-0</v>
          </cell>
          <cell r="D79" t="str">
            <v>15.005.0215-A</v>
          </cell>
          <cell r="E79" t="str">
            <v>EMOP</v>
          </cell>
          <cell r="F79" t="str">
            <v>ASSENTAMENTO DE AR CONDICIONADO SPLIT DE 9000 A 30000 BTU/H,COM 1 CONDENSADOR E 1 EVAPORADOR,CONFORME ABNT NBR 16655,(VIDE FORNECIMENTO DO APARELHO NA FAMILIA 18.030) INCLUSIVE ACESSORIOS DE FIXACAO,EXCLUSIVE ALIMENTACAO ELETRICA E INTERLIGACAO AO CONDENS</v>
          </cell>
          <cell r="G79" t="str">
            <v>UN</v>
          </cell>
          <cell r="H79">
            <v>3</v>
          </cell>
          <cell r="I79">
            <v>334.63</v>
          </cell>
          <cell r="J79">
            <v>1003.89</v>
          </cell>
          <cell r="K79">
            <v>308.99</v>
          </cell>
          <cell r="L79">
            <v>926.97</v>
          </cell>
        </row>
        <row r="80">
          <cell r="B80" t="str">
            <v>7.23</v>
          </cell>
          <cell r="C80" t="str">
            <v>15.005.0215-0</v>
          </cell>
          <cell r="D80" t="str">
            <v>15.005.0215-A</v>
          </cell>
          <cell r="E80" t="str">
            <v>EMOP</v>
          </cell>
          <cell r="F80" t="str">
            <v>ASSENTAMENTO DE AR CONDICIONADO SPLIT DE 9000 A 30000 BTU/H,COM 1 CONDENSADOR E 1 EVAPORADOR,CONFORME ABNT NBR 16655,(VIDE FORNECIMENTO DO APARELHO NA FAMILIA 18.030) INCLUSIVE ACESSORIOS DE FIXACAO,EXCLUSIVE ALIMENTACAO ELETRICA E INTERLIGACAO AO CONDENS</v>
          </cell>
          <cell r="G80" t="str">
            <v>UN</v>
          </cell>
          <cell r="H80">
            <v>3</v>
          </cell>
          <cell r="I80">
            <v>334.63</v>
          </cell>
          <cell r="J80">
            <v>1003.89</v>
          </cell>
          <cell r="K80">
            <v>308.99</v>
          </cell>
          <cell r="L80">
            <v>926.97</v>
          </cell>
        </row>
        <row r="81">
          <cell r="B81" t="str">
            <v>7.24</v>
          </cell>
          <cell r="C81" t="str">
            <v>15.005.0220-0</v>
          </cell>
          <cell r="D81" t="str">
            <v>15.005.0220-A</v>
          </cell>
          <cell r="E81" t="str">
            <v>EMOP</v>
          </cell>
          <cell r="F81" t="str">
            <v>ASSENTAMENTO DE AR CONDICIONADO SPLIT DE 36000 A 60000 BTU/H,COM 1 CONDENSADOR E 1 EVAPORADOR,CONFORME ABNT NBR 16655,(VIDE FORNECIMENTO DO APARELHO NA FAMILIA 18.030) INCLUSIVE ACESSORIOS DE FIXACAO,EXCLUSIVE ALIMENTACAO ELETRICA E INTERLIGACAO AO CONDEN</v>
          </cell>
          <cell r="G81" t="str">
            <v>UN</v>
          </cell>
          <cell r="H81">
            <v>1</v>
          </cell>
          <cell r="I81">
            <v>616.28</v>
          </cell>
          <cell r="J81">
            <v>616.28</v>
          </cell>
          <cell r="K81">
            <v>570.12</v>
          </cell>
          <cell r="L81">
            <v>570.12</v>
          </cell>
        </row>
        <row r="82">
          <cell r="B82" t="str">
            <v>7.25</v>
          </cell>
          <cell r="C82" t="str">
            <v>15.005.0220-0</v>
          </cell>
          <cell r="D82" t="str">
            <v>15.005.0220-A</v>
          </cell>
          <cell r="E82" t="str">
            <v>EMOP</v>
          </cell>
          <cell r="F82" t="str">
            <v>ASSENTAMENTO DE AR CONDICIONADO SPLIT DE 36000 A 60000 BTU/H,COM 1 CONDENSADOR E 1 EVAPORADOR,CONFORME ABNT NBR 16655,(VIDE FORNECIMENTO DO APARELHO NA FAMILIA 18.030) INCLUSIVE ACESSORIOS DE FIXACAO,EXCLUSIVE ALIMENTACAO ELETRICA E INTERLIGACAO AO CONDEN</v>
          </cell>
          <cell r="G82" t="str">
            <v>UN</v>
          </cell>
          <cell r="H82">
            <v>2</v>
          </cell>
          <cell r="I82">
            <v>616.28</v>
          </cell>
          <cell r="J82">
            <v>1232.56</v>
          </cell>
          <cell r="K82">
            <v>570.12</v>
          </cell>
          <cell r="L82">
            <v>1140.24</v>
          </cell>
        </row>
        <row r="83">
          <cell r="B83" t="str">
            <v>7.26</v>
          </cell>
          <cell r="C83" t="str">
            <v>15.005.0240-0</v>
          </cell>
          <cell r="D83" t="str">
            <v>15.005.0240-A</v>
          </cell>
          <cell r="E83" t="str">
            <v>EMOP</v>
          </cell>
          <cell r="F83" t="str">
            <v>TUBULACAO EM COBRE PARA INTERLIGACAO DE SPLIT AO CONDENSADOR/EVAPORADOR,CONFORME ABNT NBR 16655,INCLUSIVE ISOLAMENTO TERMICO,ALIMENTACAO ELETRICA,CONEXOES E FIXACAO,PARA APARELHOSDE 9000 A 30000 BTU/H.FORNECIMENTO E INSTALACAO</v>
          </cell>
          <cell r="G83" t="str">
            <v>M</v>
          </cell>
          <cell r="H83">
            <v>70</v>
          </cell>
          <cell r="I83">
            <v>91.78</v>
          </cell>
          <cell r="J83">
            <v>6424.6</v>
          </cell>
          <cell r="K83">
            <v>85.29</v>
          </cell>
          <cell r="L83">
            <v>5970.3</v>
          </cell>
        </row>
        <row r="84">
          <cell r="B84" t="str">
            <v>7.27</v>
          </cell>
          <cell r="C84" t="str">
            <v>15.015.0171-0</v>
          </cell>
          <cell r="D84" t="str">
            <v>15.015.0171-A</v>
          </cell>
          <cell r="E84" t="str">
            <v>EMOP</v>
          </cell>
          <cell r="F84" t="str">
            <v>INSTALACAO DE PONTO DE FORCA ATE 2CV,EQUIVALENTE A 2 VARAS DE ELETRODUTO DE PVC RIGIDO DE 1/2",20,00M DE FIO 2,5MM2,CAIXAS E CONEXOES</v>
          </cell>
          <cell r="G84" t="str">
            <v>UN</v>
          </cell>
          <cell r="H84">
            <v>3</v>
          </cell>
          <cell r="I84">
            <v>509.36</v>
          </cell>
          <cell r="J84">
            <v>1528.08</v>
          </cell>
          <cell r="K84">
            <v>449.94</v>
          </cell>
          <cell r="L84">
            <v>1349.82</v>
          </cell>
        </row>
        <row r="85">
          <cell r="B85" t="str">
            <v>7.28</v>
          </cell>
          <cell r="C85" t="str">
            <v>15.015.0173-0</v>
          </cell>
          <cell r="D85" t="str">
            <v>15.015.0173-A</v>
          </cell>
          <cell r="E85" t="str">
            <v>EMOP</v>
          </cell>
          <cell r="F85" t="str">
            <v>INSTALACAO DE PONTO DE FORCA ATE 4CV,EQUIVALENTE A 2 VARAS DE ELETRODUTO DE PVC RIGIDO DE 3/4",20,00M DE FIO 4MM2,CAIXASE CONEXOES</v>
          </cell>
          <cell r="G85" t="str">
            <v>UN</v>
          </cell>
          <cell r="H85">
            <v>5</v>
          </cell>
          <cell r="I85">
            <v>586.16</v>
          </cell>
          <cell r="J85">
            <v>2930.8</v>
          </cell>
          <cell r="K85">
            <v>520.14</v>
          </cell>
          <cell r="L85">
            <v>2600.6999999999998</v>
          </cell>
        </row>
        <row r="86">
          <cell r="B86" t="str">
            <v>7.29</v>
          </cell>
          <cell r="C86" t="str">
            <v>15.015.0175-0</v>
          </cell>
          <cell r="D86" t="str">
            <v>15.015.0175-A</v>
          </cell>
          <cell r="E86" t="str">
            <v>EMOP</v>
          </cell>
          <cell r="F86" t="str">
            <v>INSTALACAO DE PONTO DE FORCA PARA 5CV,EQUIVALENTE A 2 VARASDE ELETRODUTO DE PVC RIGIDO DE 3/4",20,00M DE FIO 4MM2,CAIXAS E CONEXOES</v>
          </cell>
          <cell r="G86" t="str">
            <v>UN</v>
          </cell>
          <cell r="H86">
            <v>4</v>
          </cell>
          <cell r="I86">
            <v>685.27</v>
          </cell>
          <cell r="J86">
            <v>2741.08</v>
          </cell>
          <cell r="K86">
            <v>606.04</v>
          </cell>
          <cell r="L86">
            <v>2424.16</v>
          </cell>
        </row>
        <row r="87">
          <cell r="B87" t="str">
            <v>7.30</v>
          </cell>
          <cell r="C87" t="str">
            <v>15.015.0177-0</v>
          </cell>
          <cell r="D87" t="str">
            <v>15.015.0177-A</v>
          </cell>
          <cell r="E87" t="str">
            <v>EMOP</v>
          </cell>
          <cell r="F87" t="str">
            <v>INSTALACAO DE PONTO DE FORCA PARA 10CV,EQUIVALENTE A 2 VARASDE ELETRODUTO DE PVC RIGIDO DE 1",20,00M DE FIO 6MM2,CAIXASE CONEXOES</v>
          </cell>
          <cell r="G87" t="str">
            <v>UN</v>
          </cell>
          <cell r="H87">
            <v>2</v>
          </cell>
          <cell r="I87">
            <v>877.3</v>
          </cell>
          <cell r="J87">
            <v>1754.6</v>
          </cell>
          <cell r="K87">
            <v>778.26</v>
          </cell>
          <cell r="L87">
            <v>1556.52</v>
          </cell>
        </row>
        <row r="88">
          <cell r="B88" t="str">
            <v>7.31</v>
          </cell>
          <cell r="C88" t="str">
            <v>15.007.0575-0</v>
          </cell>
          <cell r="D88" t="str">
            <v>15.007.0575-A</v>
          </cell>
          <cell r="E88" t="str">
            <v>EMOP</v>
          </cell>
          <cell r="F88" t="str">
            <v>DISJUNTOR TERMOMAGNETICO,BIPOLAR,DE 10 A 32A,3KA,MODELO DIN,TIPO C.FORNECIMENTO E COLOCACAO</v>
          </cell>
          <cell r="G88" t="str">
            <v>UN</v>
          </cell>
          <cell r="H88">
            <v>14</v>
          </cell>
          <cell r="I88">
            <v>32.56</v>
          </cell>
          <cell r="J88">
            <v>455.84</v>
          </cell>
          <cell r="K88">
            <v>31.65</v>
          </cell>
          <cell r="L88">
            <v>443.1</v>
          </cell>
        </row>
        <row r="89">
          <cell r="B89" t="str">
            <v>7.32</v>
          </cell>
          <cell r="C89" t="str">
            <v>15.011.0095-0</v>
          </cell>
          <cell r="D89" t="str">
            <v>15.011.0095-A</v>
          </cell>
          <cell r="E89" t="str">
            <v>EMOP</v>
          </cell>
          <cell r="F89" t="str">
            <v>ENTRADA DE ENERGIA INDIVIDUAL,PADRAO LIGHT,MEDICAO DIRETA,REDE SUBTERRANEA,38KVA E 76KVA,INCLUSIVE CAIXA SECCIONADORA EMEDICAO (CSM200),CAIXA POLIMERICA DE PROTECAO GERAL (CPG200-P) INTERNA,CAIXA INSPECAO,3 HASTES E CONECTORES DE ATERRAMENTO E DEMAIS MATE</v>
          </cell>
          <cell r="G89" t="str">
            <v>UN</v>
          </cell>
          <cell r="H89">
            <v>1</v>
          </cell>
          <cell r="I89">
            <v>1936.5</v>
          </cell>
          <cell r="J89">
            <v>1936.5</v>
          </cell>
          <cell r="K89">
            <v>1912.04</v>
          </cell>
          <cell r="L89">
            <v>1912.04</v>
          </cell>
        </row>
        <row r="90">
          <cell r="B90" t="str">
            <v>7.33</v>
          </cell>
          <cell r="C90" t="str">
            <v>15.008.0112-0</v>
          </cell>
          <cell r="D90" t="str">
            <v>15.008.0112-A</v>
          </cell>
          <cell r="E90" t="str">
            <v>EMOP</v>
          </cell>
          <cell r="F90" t="str">
            <v>CABO DE COBRE FLEXIVEL COM ISOLAMENTO TERMOPLASTICO,COMPREENDENDO:PREPARO,CORTE E ENFIACAO EM ELETRODUTOS,NA BITOLA DE 35MM2, 450/750V.FORNECIMENTO E COLOCACAO</v>
          </cell>
          <cell r="G90" t="str">
            <v>M</v>
          </cell>
          <cell r="H90">
            <v>130</v>
          </cell>
          <cell r="I90">
            <v>30.55</v>
          </cell>
          <cell r="J90">
            <v>3971.5</v>
          </cell>
          <cell r="K90">
            <v>29.56</v>
          </cell>
          <cell r="L90">
            <v>3842.8</v>
          </cell>
        </row>
        <row r="91">
          <cell r="B91">
            <v>8</v>
          </cell>
          <cell r="C91" t="str">
            <v>COBERTURA</v>
          </cell>
          <cell r="D91"/>
          <cell r="E91"/>
          <cell r="F91"/>
          <cell r="G91"/>
          <cell r="H91"/>
          <cell r="I91"/>
          <cell r="J91">
            <v>144327.08000000002</v>
          </cell>
          <cell r="K91"/>
          <cell r="L91">
            <v>89814.83</v>
          </cell>
        </row>
        <row r="92">
          <cell r="B92" t="str">
            <v>8.1</v>
          </cell>
          <cell r="C92" t="str">
            <v>16.007.0027-0</v>
          </cell>
          <cell r="D92" t="str">
            <v>16.007.0027-A</v>
          </cell>
          <cell r="E92" t="str">
            <v>EMOP</v>
          </cell>
          <cell r="F92" t="str">
            <v>CALHA EM CHAPA DE ACO GALVANIZADO N°26 COM 50CM DE DESENVOLVIMENTO.FORNECIMENTO E COLOCACAO</v>
          </cell>
          <cell r="G92" t="str">
            <v>M</v>
          </cell>
          <cell r="H92">
            <v>146.80000000000001</v>
          </cell>
          <cell r="I92">
            <v>125.78</v>
          </cell>
          <cell r="J92">
            <v>18464.5</v>
          </cell>
          <cell r="K92">
            <v>115.5</v>
          </cell>
          <cell r="L92">
            <v>16955.400000000001</v>
          </cell>
        </row>
        <row r="93">
          <cell r="B93" t="str">
            <v>8.2</v>
          </cell>
          <cell r="C93" t="str">
            <v>16.005.0027-0</v>
          </cell>
          <cell r="D93" t="str">
            <v>16.005.0027-A</v>
          </cell>
          <cell r="E93" t="str">
            <v>EMOP</v>
          </cell>
          <cell r="F93" t="str">
            <v>RUFO DE GALVALUME COM MEDIDAS APROXIMADAS DE (0,7X500)MM.FORNECIMENTO E COLOCACAO</v>
          </cell>
          <cell r="G93" t="str">
            <v>M</v>
          </cell>
          <cell r="H93">
            <v>21.91</v>
          </cell>
          <cell r="I93">
            <v>141.81</v>
          </cell>
          <cell r="J93">
            <v>3107.05</v>
          </cell>
          <cell r="K93">
            <v>132.99</v>
          </cell>
          <cell r="L93">
            <v>2913.81</v>
          </cell>
        </row>
        <row r="94">
          <cell r="B94" t="str">
            <v>8.3</v>
          </cell>
          <cell r="C94" t="str">
            <v>16.015.0001-0</v>
          </cell>
          <cell r="D94" t="str">
            <v>16.015.0001-A</v>
          </cell>
          <cell r="E94" t="str">
            <v>EMOP</v>
          </cell>
          <cell r="F94" t="str">
            <v>SUBCOBERTURA COMPOSTA DE DUAS FOLHAS DE ALUMINIO ESTRUTURADOE UMA FOLHA DE POLIETILENO ALTA DENSIDADE TRANCADO,COM ESPESSURA APROXIMADA ENTRE 0,15MM E 0,17MM,INCLUSIVE MADEIRAMENTO DE FIXACAO.FORNECIMENTO E COLOCACAO</v>
          </cell>
          <cell r="G94" t="str">
            <v>M2</v>
          </cell>
          <cell r="H94">
            <v>432.69799999999998</v>
          </cell>
          <cell r="I94">
            <v>26.36</v>
          </cell>
          <cell r="J94">
            <v>11405.91</v>
          </cell>
          <cell r="K94">
            <v>25.04</v>
          </cell>
          <cell r="L94">
            <v>10834.75</v>
          </cell>
        </row>
        <row r="95">
          <cell r="B95" t="str">
            <v>8.4</v>
          </cell>
          <cell r="C95" t="str">
            <v>16.013.0001-0</v>
          </cell>
          <cell r="D95" t="str">
            <v>16.013.0001-A</v>
          </cell>
          <cell r="E95" t="str">
            <v>EMOP</v>
          </cell>
          <cell r="F95" t="str">
            <v>RETIRADA E RECOLOCACAO DE TELHAS FRANCESAS,INCLUSIVE CUMEEIRA,EXCLUSIVE O FORNECIMENTO DO MATERIAL NOVO,MEDIDAS PELA AREA REAL DE COBERTURA</v>
          </cell>
          <cell r="G95" t="str">
            <v>M2</v>
          </cell>
          <cell r="H95">
            <v>432.69799999999998</v>
          </cell>
          <cell r="I95">
            <v>68.42</v>
          </cell>
          <cell r="J95">
            <v>29605.19</v>
          </cell>
          <cell r="K95">
            <v>59.3</v>
          </cell>
          <cell r="L95">
            <v>25658.99</v>
          </cell>
        </row>
        <row r="96">
          <cell r="B96" t="str">
            <v>8.5</v>
          </cell>
          <cell r="C96" t="str">
            <v>16.013.0015-0</v>
          </cell>
          <cell r="D96" t="str">
            <v>16.013.0015-A</v>
          </cell>
          <cell r="E96" t="str">
            <v>EMOP</v>
          </cell>
          <cell r="F96" t="str">
            <v>RETIRADA E RECOLOCACAO DE MADEIRAMENTO TELHAS FRANCESAS OU COLONIAIS,ONDULADAS,EXCLUSIVE FORNECIMENTO DO MATERIAL.MEDIDAS PELA AREA REAL DA COBERTURA</v>
          </cell>
          <cell r="G96" t="str">
            <v>M2</v>
          </cell>
          <cell r="H96">
            <v>432.69799999999998</v>
          </cell>
          <cell r="I96">
            <v>89.19</v>
          </cell>
          <cell r="J96">
            <v>38592.33</v>
          </cell>
          <cell r="K96">
            <v>77.31</v>
          </cell>
          <cell r="L96">
            <v>33451.879999999997</v>
          </cell>
        </row>
        <row r="97">
          <cell r="B97" t="str">
            <v>8.6</v>
          </cell>
          <cell r="C97" t="str">
            <v>16.001.0055-0</v>
          </cell>
          <cell r="D97" t="str">
            <v>16.001.0055-A</v>
          </cell>
          <cell r="E97" t="str">
            <v>EMOP</v>
          </cell>
          <cell r="F97" t="str">
            <v>MADEIRAMENTO PARA COBERTURA EM QUATRO OU MAIS AGUAS EM TELHAS CERAMICAS,CONSTITUIDO DE CUMEEIRA,TERCAS,RINCOES E ESPIGOES DE 3"X4.1/2",CAIBROS DE 3"X1.1/2",RIPAS DE 1,5X4CM,TUDO EMMADEIRA SERRADA,SEM TESOURA OU PONTALETE,MEDIDO PELA AREA REAL DO MADEIRAME</v>
          </cell>
          <cell r="G97" t="str">
            <v>M2</v>
          </cell>
          <cell r="H97">
            <v>173.07920000000001</v>
          </cell>
          <cell r="I97">
            <v>123.13</v>
          </cell>
          <cell r="J97">
            <v>21311.24</v>
          </cell>
          <cell r="K97">
            <v>114.87</v>
          </cell>
          <cell r="L97">
            <v>19881.599999999999</v>
          </cell>
          <cell r="M97"/>
        </row>
        <row r="98">
          <cell r="B98" t="str">
            <v>8.7</v>
          </cell>
          <cell r="C98" t="str">
            <v>16.002.0005-0</v>
          </cell>
          <cell r="D98" t="str">
            <v>16.002.0005-A</v>
          </cell>
          <cell r="E98" t="str">
            <v>EMOP</v>
          </cell>
          <cell r="F98" t="str">
            <v>COBERTURA EM TELHA CERAMICA FRANCESA,EXCLUSIVE CUMEEIRA E MADEIRAMENTO.MEDIDA PELA AREA REAL DA COBERTURA.FORNECIMENTO ECOLOCACAO</v>
          </cell>
          <cell r="G98" t="str">
            <v>M2</v>
          </cell>
          <cell r="H98">
            <v>173.07920000000001</v>
          </cell>
          <cell r="I98">
            <v>126.19</v>
          </cell>
          <cell r="J98">
            <v>21840.86</v>
          </cell>
          <cell r="K98">
            <v>118.97</v>
          </cell>
          <cell r="L98">
            <v>20591.23</v>
          </cell>
          <cell r="M98"/>
        </row>
        <row r="99">
          <cell r="B99">
            <v>9</v>
          </cell>
          <cell r="C99" t="str">
            <v>PINTURA</v>
          </cell>
          <cell r="D99"/>
          <cell r="E99"/>
          <cell r="F99"/>
          <cell r="G99"/>
          <cell r="H99"/>
          <cell r="I99"/>
          <cell r="J99">
            <v>279895.12</v>
          </cell>
          <cell r="K99"/>
          <cell r="L99">
            <v>253872.24</v>
          </cell>
          <cell r="M99"/>
        </row>
        <row r="100">
          <cell r="B100" t="str">
            <v>9.1</v>
          </cell>
          <cell r="C100" t="str">
            <v>17.018.0115-0</v>
          </cell>
          <cell r="D100" t="str">
            <v>17.018.0115-A</v>
          </cell>
          <cell r="E100" t="str">
            <v>EMOP</v>
          </cell>
          <cell r="F100" t="str">
            <v>PINTURA COM TINTA LATEX SEMIBRILHANTE,FOSCA OU ACETINADA,CLASSIFICACAO PREMIUM OU STANDARD (NBR 15079),PARA INTERIOR E EXTERIOR,BRANCA OU COLORIDA,SOBRE TIJOLO,CONCRETO LISO,CIMENTO SEM AMIANTO,E REVESTIMENTO,INCLUSIVE LIXAMENTO,UMA DEMAO DE SELADOR ACRIL</v>
          </cell>
          <cell r="G100" t="str">
            <v>M2</v>
          </cell>
          <cell r="H100">
            <v>4455.382999999998</v>
          </cell>
          <cell r="I100">
            <v>49.98</v>
          </cell>
          <cell r="J100">
            <v>222680.04</v>
          </cell>
          <cell r="K100">
            <v>45.02</v>
          </cell>
          <cell r="L100">
            <v>200581.34</v>
          </cell>
          <cell r="M100"/>
        </row>
        <row r="101">
          <cell r="B101" t="str">
            <v>9.2</v>
          </cell>
          <cell r="C101" t="str">
            <v>17.013.0030-0</v>
          </cell>
          <cell r="D101" t="str">
            <v>17.013.0030-A</v>
          </cell>
          <cell r="E101" t="str">
            <v>EMOP</v>
          </cell>
          <cell r="F101" t="str">
            <v>PINTURA INTERNA OU EXTERNA SOBRE CONCRETO LISO OU REVESTIMENTO,COM TINTA AQUOSA A BASE DE EPOXI INCOLOR OU EM CORES,INCLUSIVE LIMPEZA,E DUAS DEMAOS DE ACABAMENTO</v>
          </cell>
          <cell r="G101" t="str">
            <v>M2</v>
          </cell>
          <cell r="H101">
            <v>86.64</v>
          </cell>
          <cell r="I101">
            <v>129.21</v>
          </cell>
          <cell r="J101">
            <v>11194.75</v>
          </cell>
          <cell r="K101">
            <v>127.44</v>
          </cell>
          <cell r="L101">
            <v>11041.4</v>
          </cell>
        </row>
        <row r="102">
          <cell r="B102" t="str">
            <v>9.3</v>
          </cell>
          <cell r="C102" t="str">
            <v>17.018.0190-0</v>
          </cell>
          <cell r="D102" t="str">
            <v>17.018.0190-A</v>
          </cell>
          <cell r="E102" t="str">
            <v>EMOP</v>
          </cell>
          <cell r="F102" t="str">
            <v>PINTURA A BASE DE RESINA ACRILICA SOBRE AZULEJOS E PASTILHASEM AREAS INTERNAS E EXTERNAS,EM TRES DEMAOS</v>
          </cell>
          <cell r="G102" t="str">
            <v>M2</v>
          </cell>
          <cell r="H102">
            <v>144.08499999999998</v>
          </cell>
          <cell r="I102">
            <v>41.82</v>
          </cell>
          <cell r="J102">
            <v>6025.63</v>
          </cell>
          <cell r="K102">
            <v>38.26</v>
          </cell>
          <cell r="L102">
            <v>5512.69</v>
          </cell>
        </row>
        <row r="103">
          <cell r="B103" t="str">
            <v>9.4</v>
          </cell>
          <cell r="C103" t="str">
            <v>17.017.0110-0</v>
          </cell>
          <cell r="D103" t="str">
            <v>17.017.0110-A</v>
          </cell>
          <cell r="E103" t="str">
            <v>EMOP</v>
          </cell>
          <cell r="F103" t="str">
            <v>PINTURA INTERNA OU EXTERNA SOBRE MADEIRA,COM TINTA A OLEO BRILHANTE OU ACETINADA,LIXAMENTO,UMA DEMAO DE VERNIZ ISOLANTEINCOLOR,DUAS DEMAOS DE MASSA PARA MADEIRA,LIXAMENTO E REMOCAO DE PO,UMA DEMAO DE FUNDO SINTETICO NIVELADOR E DUAS DEMAOSDE ACABAMENTO</v>
          </cell>
          <cell r="G103" t="str">
            <v>M2</v>
          </cell>
          <cell r="H103">
            <v>1120.7400000000002</v>
          </cell>
          <cell r="I103">
            <v>33.799999999999997</v>
          </cell>
          <cell r="J103">
            <v>37881.01</v>
          </cell>
          <cell r="K103">
            <v>31.05</v>
          </cell>
          <cell r="L103">
            <v>34798.97</v>
          </cell>
        </row>
        <row r="104">
          <cell r="B104" t="str">
            <v>9.5</v>
          </cell>
          <cell r="C104" t="str">
            <v>17.017.0320-0</v>
          </cell>
          <cell r="D104" t="str">
            <v>17.017.0320-A</v>
          </cell>
          <cell r="E104" t="str">
            <v>EMOP</v>
          </cell>
          <cell r="F104" t="str">
            <v>PINTURA INTERNA OU EXTERNA SOBRE FERRO,COM ESMALTE SINTETICOBRILHANTE OU ACETINADO APOS LIXAMENTO,LIMPEZA,DESENGORDURAMENTO,UMA DEMAO DE FUNDO ANTICORROSIVO NA COR LARANJA DE SECAGEM RAPIDA E DUAS DEMAOS DE ACABAMENTO</v>
          </cell>
          <cell r="G104" t="str">
            <v>M2</v>
          </cell>
          <cell r="H104">
            <v>88.365000000000009</v>
          </cell>
          <cell r="I104">
            <v>23.92</v>
          </cell>
          <cell r="J104">
            <v>2113.69</v>
          </cell>
          <cell r="K104">
            <v>21.93</v>
          </cell>
          <cell r="L104">
            <v>1937.84</v>
          </cell>
        </row>
        <row r="105">
          <cell r="B105">
            <v>10</v>
          </cell>
          <cell r="C105" t="str">
            <v>APARELHOS ELÉTRICOS E HIDRÁULICOS</v>
          </cell>
          <cell r="D105"/>
          <cell r="E105"/>
          <cell r="F105"/>
          <cell r="G105"/>
          <cell r="H105"/>
          <cell r="I105"/>
          <cell r="J105">
            <v>93281.29</v>
          </cell>
          <cell r="K105"/>
          <cell r="L105">
            <v>92644.39</v>
          </cell>
        </row>
        <row r="106">
          <cell r="B106" t="str">
            <v>10.1</v>
          </cell>
          <cell r="C106" t="str">
            <v>18.027.0476-0</v>
          </cell>
          <cell r="D106" t="str">
            <v>18.027.0476-A</v>
          </cell>
          <cell r="E106" t="str">
            <v>EMOP</v>
          </cell>
          <cell r="F106" t="str">
            <v>LUMINARIA DE SOBREPOR, FIXADA EM LAJE OU FORRO, TIPO CALHA,CHANFRADA OU PRISMATICA, COMPLETA, COM LAMPADA LED TUBULARDE 2 X 18W. FORNECIMENTO E COLOCACAO</v>
          </cell>
          <cell r="G106" t="str">
            <v>UN</v>
          </cell>
          <cell r="H106">
            <v>36</v>
          </cell>
          <cell r="I106">
            <v>120.89</v>
          </cell>
          <cell r="J106">
            <v>4352.04</v>
          </cell>
          <cell r="K106">
            <v>112.91</v>
          </cell>
          <cell r="L106">
            <v>4064.76</v>
          </cell>
        </row>
        <row r="107">
          <cell r="B107" t="str">
            <v>10.2</v>
          </cell>
          <cell r="C107" t="str">
            <v>18.027.0434-0</v>
          </cell>
          <cell r="D107" t="str">
            <v>18.027.0434-A</v>
          </cell>
          <cell r="E107" t="str">
            <v>EMOP</v>
          </cell>
          <cell r="F107" t="str">
            <v>LUMINARIA TIPO SPOT,DIRECIONAL,EXCLUSIVE LAMPADA.FORNECIMENTO E COLOCACAO</v>
          </cell>
          <cell r="G107" t="str">
            <v>UN</v>
          </cell>
          <cell r="H107">
            <v>13</v>
          </cell>
          <cell r="I107">
            <v>61.89</v>
          </cell>
          <cell r="J107">
            <v>804.57</v>
          </cell>
          <cell r="K107">
            <v>55.29</v>
          </cell>
          <cell r="L107">
            <v>718.77</v>
          </cell>
        </row>
        <row r="108">
          <cell r="B108" t="str">
            <v>10.3</v>
          </cell>
          <cell r="C108" t="str">
            <v>18.027.0045-0</v>
          </cell>
          <cell r="D108" t="str">
            <v>18.027.0045-A</v>
          </cell>
          <cell r="E108" t="str">
            <v>EMOP</v>
          </cell>
          <cell r="F108" t="str">
            <v>LUMINARIA DE EMERGENCIA DE SOBREPOR,EM PLASTICO,EQUIPADA COMBATERIA SELADA RECARREGAVEL COM 30 LAMPADAS EM LED. FORNECIMENTO E COLOCACAO</v>
          </cell>
          <cell r="G108" t="str">
            <v>UN</v>
          </cell>
          <cell r="H108">
            <v>22</v>
          </cell>
          <cell r="I108">
            <v>38.06</v>
          </cell>
          <cell r="J108">
            <v>837.32</v>
          </cell>
          <cell r="K108">
            <v>34.76</v>
          </cell>
          <cell r="L108">
            <v>764.72</v>
          </cell>
        </row>
        <row r="109">
          <cell r="B109" t="str">
            <v>10.4</v>
          </cell>
          <cell r="C109" t="str">
            <v>18.002.0065-0</v>
          </cell>
          <cell r="D109" t="str">
            <v>18.002.0065-A</v>
          </cell>
          <cell r="E109" t="str">
            <v>EMOP</v>
          </cell>
          <cell r="F109" t="str">
            <v>BACIA SANITARIA DE LOUCA BRANCA,COM CAIXA ACOPLADA,PADRAO POPULAR,INCLUSIVE ASSENTO PLASTICO PADRAO POPULAR,RABICHO EM PVC,ANEL DE VEDACAO E ACESSORIOS DE FIXACAO.FORNECIMENTO</v>
          </cell>
          <cell r="G109" t="str">
            <v>UN</v>
          </cell>
          <cell r="H109">
            <v>8</v>
          </cell>
          <cell r="I109">
            <v>331.31</v>
          </cell>
          <cell r="J109">
            <v>2650.48</v>
          </cell>
          <cell r="K109">
            <v>331.31</v>
          </cell>
          <cell r="L109">
            <v>2650.48</v>
          </cell>
        </row>
        <row r="110">
          <cell r="B110" t="str">
            <v>10.5</v>
          </cell>
          <cell r="C110" t="str">
            <v>18.002.0090-0</v>
          </cell>
          <cell r="D110" t="str">
            <v>18.002.0090-A</v>
          </cell>
          <cell r="E110" t="str">
            <v>EMOP</v>
          </cell>
          <cell r="F110" t="str">
            <v>BACIA SANITARIA DE LOUCA BRANCA,CONVENCIONAL,CONFORME ABNT NBR 9050 PARA ACESSIBILIDADE,INCLUSIVE ASSENTO PLASTICO PADRAO MEDIO LUXO,TUBO DE LIGACAO,ANEL DE VEDACAO E ACESSORIOS DEFIXACAO.FORNECIMENTO</v>
          </cell>
          <cell r="G110" t="str">
            <v>UN</v>
          </cell>
          <cell r="H110">
            <v>2</v>
          </cell>
          <cell r="I110">
            <v>596.87</v>
          </cell>
          <cell r="J110">
            <v>1193.74</v>
          </cell>
          <cell r="K110">
            <v>596.87</v>
          </cell>
          <cell r="L110">
            <v>1193.74</v>
          </cell>
        </row>
        <row r="111">
          <cell r="B111" t="str">
            <v>10.6</v>
          </cell>
          <cell r="C111" t="str">
            <v>18.070.0044-0</v>
          </cell>
          <cell r="D111" t="str">
            <v>18.070.0044-A</v>
          </cell>
          <cell r="E111" t="str">
            <v>EMOP</v>
          </cell>
          <cell r="F111" t="str">
            <v>BANCA DE MARMORE BRANCO NACIONAL,COM 3CM DE ESPESSURA,COM ABERTURA PARA 1 CUBA (EXCLUSIVE ESTA),SOBRE APOIOS DE ALVENARIA DE MEIA VEZ E VERGA DE CONCRETO,SEM REVESTIMENTO.FORNECIMENTO E COLOCACAO</v>
          </cell>
          <cell r="G111" t="str">
            <v>M2</v>
          </cell>
          <cell r="H111">
            <v>3</v>
          </cell>
          <cell r="I111">
            <v>858.82</v>
          </cell>
          <cell r="J111">
            <v>2576.46</v>
          </cell>
          <cell r="K111">
            <v>842.76</v>
          </cell>
          <cell r="L111">
            <v>2528.2800000000002</v>
          </cell>
        </row>
        <row r="112">
          <cell r="B112" t="str">
            <v>10.7</v>
          </cell>
          <cell r="C112" t="str">
            <v>18.002.0024-0</v>
          </cell>
          <cell r="D112" t="str">
            <v>18.002.0024-A</v>
          </cell>
          <cell r="E112" t="str">
            <v>EMOP</v>
          </cell>
          <cell r="F112" t="str">
            <v>CUBA DE LOUCA BRANCA,DE SOBREPOR,PADRAO POPULAR,MEDINDO EM TORNO DE (39X29)CM.FERRAGENS: SIFAO DE 1"X1.1/4" EM PVC,TORNEIRA PARA LAVATORIO DE MESA 1193 OU SIMILAR DE 1/2",VALVULA DE ESCOAMENTO EM METAL CROMADO E RABICHO EM PVC.FORNECIMENTO</v>
          </cell>
          <cell r="G112" t="str">
            <v>UN</v>
          </cell>
          <cell r="H112">
            <v>6</v>
          </cell>
          <cell r="I112">
            <v>165.12</v>
          </cell>
          <cell r="J112">
            <v>990.72</v>
          </cell>
          <cell r="K112">
            <v>165.12</v>
          </cell>
          <cell r="L112">
            <v>990.72</v>
          </cell>
        </row>
        <row r="113">
          <cell r="B113" t="str">
            <v>10.8</v>
          </cell>
          <cell r="C113" t="str">
            <v>18.080.0025-0</v>
          </cell>
          <cell r="D113" t="str">
            <v>18.080.0025-A</v>
          </cell>
          <cell r="E113" t="str">
            <v>EMOP</v>
          </cell>
          <cell r="F113" t="str">
            <v>BANCA DE GRANITO PRETO,COM 2CM DE ESPESSURA,COM ABERTURA PARA 1 CUBA (EXCLUSIVE ESTA),SOBRE APOIOS DE ALVENARIA DE MEIAVEZ E VERGA DE CONCRETO,SEM REVESTIMENTO.FORNECIMENTO E COLOCACAO</v>
          </cell>
          <cell r="G113" t="str">
            <v>M2</v>
          </cell>
          <cell r="H113">
            <v>3.09</v>
          </cell>
          <cell r="I113">
            <v>1063.24</v>
          </cell>
          <cell r="J113">
            <v>3285.41</v>
          </cell>
          <cell r="K113">
            <v>1047.18</v>
          </cell>
          <cell r="L113">
            <v>3235.78</v>
          </cell>
        </row>
        <row r="114">
          <cell r="B114" t="str">
            <v>10.9</v>
          </cell>
          <cell r="C114" t="str">
            <v>18.080.0020-0</v>
          </cell>
          <cell r="D114" t="str">
            <v>18.080.0020-A</v>
          </cell>
          <cell r="E114" t="str">
            <v>EMOP</v>
          </cell>
          <cell r="F114" t="str">
            <v>BANCA SECA DE GRANITO PRETO,COM 2CM DE ESPESSURA E 60CM DE LARGURA,SOBRE APOIOS DE ALVENARIA DE MEIA VEZ E VERGA DE CONCRETO,SEM REVESTIMENTO.FORNECIMENTO E ASSENTAMENTO</v>
          </cell>
          <cell r="G114" t="str">
            <v>M</v>
          </cell>
          <cell r="H114">
            <v>2.5499999999999998</v>
          </cell>
          <cell r="I114">
            <v>474.05</v>
          </cell>
          <cell r="J114">
            <v>1208.82</v>
          </cell>
          <cell r="K114">
            <v>463.3</v>
          </cell>
          <cell r="L114">
            <v>1181.4100000000001</v>
          </cell>
        </row>
        <row r="115">
          <cell r="B115" t="str">
            <v>10.10</v>
          </cell>
          <cell r="C115" t="str">
            <v>18.016.0040-0</v>
          </cell>
          <cell r="D115" t="str">
            <v>18.016.0040-0</v>
          </cell>
          <cell r="E115" t="str">
            <v>EMOP</v>
          </cell>
          <cell r="F115" t="str">
            <v>CUBA DE ACO INOXIDAVEL,MEDINDO APROXIMADAMENTE (500X400X200)MM,EM CHAPA 20.304,VALVULA DE ESCOAMENTO TIPO AMERICANA 1623,SIFAO 1680 1.1/2" X 1.1/2",EXCLUSIVE TORNEIRA.FORNECIMENTOE COLOCACAO</v>
          </cell>
          <cell r="G115" t="str">
            <v>UN</v>
          </cell>
          <cell r="H115">
            <v>2</v>
          </cell>
          <cell r="I115">
            <v>582.83000000000004</v>
          </cell>
          <cell r="J115">
            <v>1165.6600000000001</v>
          </cell>
          <cell r="K115">
            <v>582.83000000000004</v>
          </cell>
          <cell r="L115">
            <v>1165.6600000000001</v>
          </cell>
        </row>
        <row r="116">
          <cell r="B116" t="str">
            <v>10.11</v>
          </cell>
          <cell r="C116" t="str">
            <v>18.002.0031-0</v>
          </cell>
          <cell r="D116" t="str">
            <v>18.002.0031-A</v>
          </cell>
          <cell r="E116" t="str">
            <v>EMOP</v>
          </cell>
          <cell r="F116" t="str">
            <v>TANQUE DE LOUCA BRANCA,C/COLUNA E MEDIDAS EM TORNO DE (60X56)CM,INCLUSIVE ACESSORIOS DE FIXACAO.FERRAGENS EM METAL CROMADO:TORNEIRA DE PRESSAO,1158 OU SIMILAR,DE 1/2",VALVULA DE ESCOAMENTO 1606 E SIFAO 1680 DE 1.1/2"X1.1/2".FORNECIMENTO</v>
          </cell>
          <cell r="G116" t="str">
            <v>UN</v>
          </cell>
          <cell r="H116">
            <v>1</v>
          </cell>
          <cell r="I116">
            <v>683.94</v>
          </cell>
          <cell r="J116">
            <v>683.94</v>
          </cell>
          <cell r="K116">
            <v>683.94</v>
          </cell>
          <cell r="L116">
            <v>683.94</v>
          </cell>
        </row>
        <row r="117">
          <cell r="B117" t="str">
            <v>10.12</v>
          </cell>
          <cell r="C117" t="str">
            <v>18.016.0106-0</v>
          </cell>
          <cell r="D117" t="str">
            <v>18.016.0106-A</v>
          </cell>
          <cell r="E117" t="str">
            <v>EMOP</v>
          </cell>
          <cell r="F117" t="str">
            <v>BARRA DE APOIO EM ACO INOXIDAVEL AISI 304,TUBO DE 1.1/4",INCLUSIVE FIXACAO COM PARAFUSOS INOXIDAVEIS E BUCHAS PLASTICAS,COM 80CM,CONFORME ABNT NBR 9050 PARA ACESSIBILIDADE.FORNECIMENTO E COLOCACAO</v>
          </cell>
          <cell r="G117" t="str">
            <v>UN</v>
          </cell>
          <cell r="H117">
            <v>4</v>
          </cell>
          <cell r="I117">
            <v>165.55</v>
          </cell>
          <cell r="J117">
            <v>662.2</v>
          </cell>
          <cell r="K117">
            <v>158.94999999999999</v>
          </cell>
          <cell r="L117">
            <v>635.79999999999995</v>
          </cell>
        </row>
        <row r="118">
          <cell r="B118" t="str">
            <v>10.13</v>
          </cell>
          <cell r="C118" t="str">
            <v>18.032.0030-0</v>
          </cell>
          <cell r="D118" t="str">
            <v>18.032.0030-A</v>
          </cell>
          <cell r="E118" t="str">
            <v>EMOP</v>
          </cell>
          <cell r="F118" t="str">
            <v>EXTINTOR DE INCENDIO PORTATIL,COM CARGA DE PO QUIMICO,CLASSEBC,DE 6KG,INCLUSIVE SUPORTE DE PAREDE,CONFORME ABNT NBR 12693.FORNECIMENTO E COLOCACAO</v>
          </cell>
          <cell r="G118" t="str">
            <v>UN</v>
          </cell>
          <cell r="H118">
            <v>7</v>
          </cell>
          <cell r="I118">
            <v>196.32</v>
          </cell>
          <cell r="J118">
            <v>1374.24</v>
          </cell>
          <cell r="K118">
            <v>193.02</v>
          </cell>
          <cell r="L118">
            <v>1351.14</v>
          </cell>
        </row>
        <row r="119">
          <cell r="B119" t="str">
            <v>10.14</v>
          </cell>
          <cell r="C119" t="str">
            <v>18.032.0012-0</v>
          </cell>
          <cell r="D119" t="str">
            <v>18.032.0012-A</v>
          </cell>
          <cell r="E119" t="str">
            <v>EMOP</v>
          </cell>
          <cell r="F119" t="str">
            <v>EXTINTOR DE INCENDIO PORTATIL,COM CARGA DE AGUA-PRESSURIZADA(AP),CLASSE A,DE 10L,INCLUSIVE SUPORTE DE PAREDE,CONFORME ABNT NBR 12693.FORNECIMENTO E COLOCACAO</v>
          </cell>
          <cell r="G119" t="str">
            <v>UN</v>
          </cell>
          <cell r="H119">
            <v>5</v>
          </cell>
          <cell r="I119">
            <v>191.42</v>
          </cell>
          <cell r="J119">
            <v>957.1</v>
          </cell>
          <cell r="K119">
            <v>188.12</v>
          </cell>
          <cell r="L119">
            <v>940.6</v>
          </cell>
        </row>
        <row r="120">
          <cell r="B120" t="str">
            <v>10.15</v>
          </cell>
          <cell r="C120" t="str">
            <v>18.030.0001-0</v>
          </cell>
          <cell r="D120" t="str">
            <v>18.030.0001-A</v>
          </cell>
          <cell r="E120" t="str">
            <v>EMOP</v>
          </cell>
          <cell r="F120" t="str">
            <v>CONDICIONADOR DE AR TIPO SPLIT 9000 BTU'S COMPREENDENDO 1 CONDENSADOR E 1 EVAPORADOR(VIDE INSTALACAO,ASSENTAMENTO E INTERLIGACOES FAMILIA 15.005).FORNECIMENTO</v>
          </cell>
          <cell r="G120" t="str">
            <v>UN</v>
          </cell>
          <cell r="H120">
            <v>1</v>
          </cell>
          <cell r="I120">
            <v>1825.97</v>
          </cell>
          <cell r="J120">
            <v>1825.97</v>
          </cell>
          <cell r="K120">
            <v>1825.97</v>
          </cell>
          <cell r="L120">
            <v>1825.97</v>
          </cell>
        </row>
        <row r="121">
          <cell r="B121" t="str">
            <v>10.16</v>
          </cell>
          <cell r="C121" t="str">
            <v>18.030.0002-0</v>
          </cell>
          <cell r="D121" t="str">
            <v>18.030.0002-A</v>
          </cell>
          <cell r="E121" t="str">
            <v>EMOP</v>
          </cell>
          <cell r="F121" t="str">
            <v>CONDICIONADOR DE AR TIPO SPLIT 12000 BTU'S COMPREENDENDO 1 CONDENSADOR E 1 EVAPORADOR(VIDE INSTALACAO,ASSENTAMENTO E INTERLIGACOES FAMILIA 15.005).FORNECIMENTO</v>
          </cell>
          <cell r="G121" t="str">
            <v>UN</v>
          </cell>
          <cell r="H121">
            <v>2</v>
          </cell>
          <cell r="I121">
            <v>1955.97</v>
          </cell>
          <cell r="J121">
            <v>3911.94</v>
          </cell>
          <cell r="K121">
            <v>1955.97</v>
          </cell>
          <cell r="L121">
            <v>3911.94</v>
          </cell>
        </row>
        <row r="122">
          <cell r="B122" t="str">
            <v>10.17</v>
          </cell>
          <cell r="C122" t="str">
            <v>18.030.0003-0</v>
          </cell>
          <cell r="D122" t="str">
            <v>18.030.0003-A</v>
          </cell>
          <cell r="E122" t="str">
            <v>EMOP</v>
          </cell>
          <cell r="F122" t="str">
            <v>CONDICIONADOR DE AR TIPO SPLIT 18000 BTU'S COMPREENDENDO 1 CONDENSADOR E 1 EVAPORADOR(VIDE INSTALACAO,ASSENTAMENTO E INTERLIGACOES FAMILIA 15.005).FORNECIMENTO</v>
          </cell>
          <cell r="G122" t="str">
            <v>UN</v>
          </cell>
          <cell r="H122">
            <v>2</v>
          </cell>
          <cell r="I122">
            <v>3058.17</v>
          </cell>
          <cell r="J122">
            <v>6116.34</v>
          </cell>
          <cell r="K122">
            <v>3058.17</v>
          </cell>
          <cell r="L122">
            <v>6116.34</v>
          </cell>
        </row>
        <row r="123">
          <cell r="B123" t="str">
            <v>10.18</v>
          </cell>
          <cell r="C123" t="str">
            <v>18.030.0005-0</v>
          </cell>
          <cell r="D123" t="str">
            <v>18.030.0005-A</v>
          </cell>
          <cell r="E123" t="str">
            <v>EMOP</v>
          </cell>
          <cell r="F123" t="str">
            <v>CONDICIONADOR DE AR TIPO SPLIT 24000 BTU'S COMPREENDENDO 1 CONDENSADOR E 1 EVAPORADOR(VIDE INSTALACAO,ASSENTAMENTO E INTERLIGACOES FAMILIA 15.005).FORNECIMENTO</v>
          </cell>
          <cell r="G123" t="str">
            <v>UN</v>
          </cell>
          <cell r="H123">
            <v>3</v>
          </cell>
          <cell r="I123">
            <v>4177.88</v>
          </cell>
          <cell r="J123">
            <v>12533.64</v>
          </cell>
          <cell r="K123">
            <v>4177.88</v>
          </cell>
          <cell r="L123">
            <v>12533.64</v>
          </cell>
        </row>
        <row r="124">
          <cell r="B124" t="str">
            <v>10.19</v>
          </cell>
          <cell r="C124" t="str">
            <v>18.030.0007-0</v>
          </cell>
          <cell r="D124" t="str">
            <v>18.030.0007-A</v>
          </cell>
          <cell r="E124" t="str">
            <v>EMOP</v>
          </cell>
          <cell r="F124" t="str">
            <v>CONDICIONADOR DE AR TIPO SPLIT 30000 BTU'S COMPREENDENDO 1 CONDENSADOR E 1 EVAPORADOR(VIDE INSTALACAO,ASSENTAMENTO E INTERLIGACOES FAMILIA 15.005).FORNECIMENTO</v>
          </cell>
          <cell r="G124" t="str">
            <v>UN</v>
          </cell>
          <cell r="H124">
            <v>3</v>
          </cell>
          <cell r="I124">
            <v>5221.07</v>
          </cell>
          <cell r="J124">
            <v>15663.21</v>
          </cell>
          <cell r="K124">
            <v>5221.07</v>
          </cell>
          <cell r="L124">
            <v>15663.21</v>
          </cell>
        </row>
        <row r="125">
          <cell r="B125" t="str">
            <v>10.20</v>
          </cell>
          <cell r="C125" t="str">
            <v>18.030.0008-0</v>
          </cell>
          <cell r="D125" t="str">
            <v>18.030.0008-A</v>
          </cell>
          <cell r="E125" t="str">
            <v>EMOP</v>
          </cell>
          <cell r="F125" t="str">
            <v>CONDICIONADOR DE AR TIPO SPLIT 36000 BTU'S COMPREENDENDO 1 CONDENSADOR E  1 EVAPORADOR(VIDE INSTALACAO,ASSENTAMENTO E INTERLIGACOES FAMILIA 15.005).FORNECIMENTO</v>
          </cell>
          <cell r="G125" t="str">
            <v>UN</v>
          </cell>
          <cell r="H125">
            <v>1</v>
          </cell>
          <cell r="I125">
            <v>8342.07</v>
          </cell>
          <cell r="J125">
            <v>8342.07</v>
          </cell>
          <cell r="K125">
            <v>8342.07</v>
          </cell>
          <cell r="L125">
            <v>8342.07</v>
          </cell>
        </row>
        <row r="126">
          <cell r="B126" t="str">
            <v>10.21</v>
          </cell>
          <cell r="C126" t="str">
            <v>18.030.0009-0</v>
          </cell>
          <cell r="D126" t="str">
            <v>18.030.0009-A</v>
          </cell>
          <cell r="E126" t="str">
            <v>EMOP</v>
          </cell>
          <cell r="F126" t="str">
            <v>CONDICIONADOR DE AR TIPO SPLIT 48000 BTU'S COMPREENDENDO 1 CONDENSADOR E 1 EVAPORADOR(VIDE INSTALACAO,ASSENTAMENTO E INTERLIGACOES FAMILIA 15.005).FORNECIMENTO</v>
          </cell>
          <cell r="G126" t="str">
            <v>UN</v>
          </cell>
          <cell r="H126">
            <v>2</v>
          </cell>
          <cell r="I126">
            <v>11072.71</v>
          </cell>
          <cell r="J126">
            <v>22145.42</v>
          </cell>
          <cell r="K126">
            <v>11072.71</v>
          </cell>
          <cell r="L126">
            <v>22145.42</v>
          </cell>
        </row>
        <row r="127">
          <cell r="B127">
            <v>11</v>
          </cell>
          <cell r="C127" t="str">
            <v>ENCARGOS COMPLEMENTARES</v>
          </cell>
          <cell r="D127"/>
          <cell r="E127"/>
          <cell r="F127"/>
          <cell r="G127"/>
          <cell r="H127"/>
          <cell r="I127"/>
          <cell r="J127">
            <v>83204.160000000003</v>
          </cell>
          <cell r="K127"/>
          <cell r="L127">
            <v>83204.160000000003</v>
          </cell>
        </row>
        <row r="128">
          <cell r="B128" t="str">
            <v>11.1</v>
          </cell>
          <cell r="C128" t="str">
            <v>COMPOSIÇÃO 1</v>
          </cell>
          <cell r="D128" t="str">
            <v>COMPOSIÇÃO 1</v>
          </cell>
          <cell r="E128" t="str">
            <v>EMOP</v>
          </cell>
          <cell r="F128" t="str">
            <v>ENCARGOS COMPLEMENTARES</v>
          </cell>
          <cell r="G128" t="str">
            <v>UN</v>
          </cell>
          <cell r="H128">
            <v>100</v>
          </cell>
          <cell r="I128">
            <v>832.04160000000002</v>
          </cell>
          <cell r="J128">
            <v>83204.160000000003</v>
          </cell>
          <cell r="K128">
            <v>832.04160000000002</v>
          </cell>
          <cell r="L128">
            <v>83204.160000000003</v>
          </cell>
        </row>
        <row r="129">
          <cell r="B129">
            <v>12</v>
          </cell>
          <cell r="C129" t="str">
            <v>ADMINISTRAÇÃO DE OBRA</v>
          </cell>
          <cell r="D129"/>
          <cell r="E129"/>
          <cell r="F129"/>
          <cell r="G129"/>
          <cell r="H129"/>
          <cell r="I129"/>
          <cell r="J129">
            <v>52953</v>
          </cell>
          <cell r="K129"/>
          <cell r="L129">
            <v>49090</v>
          </cell>
          <cell r="M129"/>
        </row>
        <row r="130">
          <cell r="B130" t="str">
            <v>12.1</v>
          </cell>
          <cell r="C130" t="str">
            <v>COMPOSIÇÃO 2</v>
          </cell>
          <cell r="D130" t="str">
            <v>COMPOSIÇÃO 2</v>
          </cell>
          <cell r="E130" t="str">
            <v>EMOP</v>
          </cell>
          <cell r="F130" t="str">
            <v>ADMINISTRAÇÃO LOCAL DA OBRA - CONFORME MEMÓRIA DE CÁLCULO DOS QUANTITATIVOS</v>
          </cell>
          <cell r="G130" t="str">
            <v>UN</v>
          </cell>
          <cell r="H130">
            <v>100</v>
          </cell>
          <cell r="I130">
            <v>529.53</v>
          </cell>
          <cell r="J130">
            <v>52953</v>
          </cell>
          <cell r="K130">
            <v>490.9</v>
          </cell>
          <cell r="L130">
            <v>49090</v>
          </cell>
        </row>
        <row r="131">
          <cell r="B131"/>
          <cell r="C131"/>
          <cell r="D131"/>
          <cell r="E131"/>
          <cell r="F131"/>
          <cell r="G131" t="str">
            <v>TOTAL GERAL SEM BDI</v>
          </cell>
          <cell r="H131"/>
          <cell r="I131"/>
          <cell r="J131">
            <v>1570046.49</v>
          </cell>
          <cell r="K131"/>
          <cell r="L131">
            <v>1435258.5299999998</v>
          </cell>
          <cell r="M131"/>
        </row>
        <row r="132">
          <cell r="J132" t="str">
            <v>SEM DESONERAÇÃO</v>
          </cell>
          <cell r="K132"/>
          <cell r="L132" t="str">
            <v>COM DESONERAÇÃO</v>
          </cell>
        </row>
        <row r="134">
          <cell r="G134" t="str">
            <v>TOTAL GERAL COM BDI</v>
          </cell>
          <cell r="H134"/>
          <cell r="I134"/>
        </row>
        <row r="135">
          <cell r="G135" t="str">
            <v>BDI</v>
          </cell>
          <cell r="H135"/>
          <cell r="I135">
            <v>0.18</v>
          </cell>
          <cell r="J135">
            <v>282608.36</v>
          </cell>
          <cell r="K135">
            <v>0.24</v>
          </cell>
          <cell r="L135">
            <v>344462.04</v>
          </cell>
          <cell r="M135"/>
        </row>
        <row r="136">
          <cell r="G136" t="str">
            <v>SEM DES.</v>
          </cell>
          <cell r="H136"/>
          <cell r="I136"/>
          <cell r="J136">
            <v>1852654.85</v>
          </cell>
          <cell r="K136" t="str">
            <v>COM DES.</v>
          </cell>
          <cell r="L136">
            <v>1779720.5699999998</v>
          </cell>
          <cell r="M136"/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83"/>
  <sheetViews>
    <sheetView tabSelected="1" topLeftCell="A1478" workbookViewId="0">
      <selection sqref="A1:XFD1483"/>
    </sheetView>
  </sheetViews>
  <sheetFormatPr defaultRowHeight="15" x14ac:dyDescent="0.25"/>
  <cols>
    <col min="14" max="14" width="24.42578125" customWidth="1"/>
    <col min="15" max="15" width="9.140625" hidden="1" customWidth="1"/>
    <col min="16" max="16" width="24.140625" hidden="1" customWidth="1"/>
  </cols>
  <sheetData>
    <row r="1" spans="1:25" s="7" customFormat="1" ht="66" customHeight="1" x14ac:dyDescent="0.25">
      <c r="A1" s="1"/>
      <c r="B1" s="2"/>
      <c r="C1" s="3"/>
      <c r="D1" s="4"/>
      <c r="E1" s="177" t="s">
        <v>0</v>
      </c>
      <c r="F1" s="178"/>
      <c r="G1" s="178"/>
      <c r="H1" s="178"/>
      <c r="I1" s="178"/>
      <c r="J1" s="178"/>
      <c r="K1" s="178"/>
      <c r="L1" s="179"/>
      <c r="M1" s="2"/>
      <c r="N1" s="5"/>
      <c r="O1" s="5"/>
      <c r="P1" s="4"/>
      <c r="Q1" s="6"/>
    </row>
    <row r="2" spans="1:25" s="7" customFormat="1" ht="66" customHeight="1" x14ac:dyDescent="0.25">
      <c r="A2" s="8"/>
      <c r="B2" s="9"/>
      <c r="C2" s="10"/>
      <c r="D2" s="11"/>
      <c r="E2" s="180"/>
      <c r="F2" s="181"/>
      <c r="G2" s="181"/>
      <c r="H2" s="181"/>
      <c r="I2" s="181"/>
      <c r="J2" s="181"/>
      <c r="K2" s="181"/>
      <c r="L2" s="182"/>
      <c r="M2" s="9"/>
      <c r="P2" s="11"/>
      <c r="Q2" s="6"/>
    </row>
    <row r="3" spans="1:25" s="7" customFormat="1" ht="66" customHeight="1" x14ac:dyDescent="0.25">
      <c r="A3" s="8"/>
      <c r="B3" s="12"/>
      <c r="C3" s="13"/>
      <c r="D3" s="14"/>
      <c r="E3" s="183"/>
      <c r="F3" s="184"/>
      <c r="G3" s="184"/>
      <c r="H3" s="184"/>
      <c r="I3" s="184"/>
      <c r="J3" s="184"/>
      <c r="K3" s="184"/>
      <c r="L3" s="185"/>
      <c r="M3" s="186" t="s">
        <v>1</v>
      </c>
      <c r="N3" s="187"/>
      <c r="O3" s="187"/>
      <c r="P3" s="188"/>
      <c r="Q3" s="6"/>
    </row>
    <row r="4" spans="1:25" s="7" customFormat="1" ht="66" customHeight="1" x14ac:dyDescent="0.25">
      <c r="A4" s="8"/>
      <c r="B4" s="15"/>
      <c r="C4" s="189" t="s">
        <v>2</v>
      </c>
      <c r="D4" s="189"/>
      <c r="E4" s="190" t="str">
        <f>[1]ORÇ_ANALITICO!C4</f>
        <v>REFORMA DA CASA DE CULTURA (ANTIGO FÓRUM)</v>
      </c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1"/>
      <c r="Q4" s="6"/>
    </row>
    <row r="5" spans="1:25" s="7" customFormat="1" ht="66" customHeight="1" x14ac:dyDescent="0.25">
      <c r="A5" s="8"/>
      <c r="B5" s="15"/>
      <c r="C5" s="189" t="s">
        <v>3</v>
      </c>
      <c r="D5" s="189"/>
      <c r="E5" s="190" t="str">
        <f>[1]ORÇ_ANALITICO!C6</f>
        <v>RUA DR. LEONI RAMOS, N°11 CENTRO 1º DISTRITO – RIO DAS FLÔRES, RJ</v>
      </c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1"/>
      <c r="Q5" s="6"/>
    </row>
    <row r="6" spans="1:25" s="7" customFormat="1" ht="66" customHeight="1" x14ac:dyDescent="0.25">
      <c r="A6" s="8"/>
      <c r="B6" s="170" t="s">
        <v>4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2"/>
      <c r="Q6" s="16"/>
    </row>
    <row r="7" spans="1:25" s="7" customFormat="1" ht="66" customHeight="1" x14ac:dyDescent="0.25">
      <c r="A7" s="8"/>
      <c r="B7" s="173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5"/>
      <c r="Q7" s="16"/>
    </row>
    <row r="8" spans="1:25" s="7" customFormat="1" ht="66" customHeight="1" x14ac:dyDescent="0.25">
      <c r="A8" s="8"/>
      <c r="B8" s="165" t="str">
        <f>[1]ORÇ_ANALITICO!B10</f>
        <v>SERVIÇOS DE ESCRITÓRIO, LABORATÓRIO E CAMPO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"/>
    </row>
    <row r="9" spans="1:25" s="7" customFormat="1" ht="66" customHeight="1" x14ac:dyDescent="0.25">
      <c r="A9" s="8"/>
      <c r="B9" s="17" t="s">
        <v>5</v>
      </c>
      <c r="C9" s="17" t="s">
        <v>6</v>
      </c>
      <c r="D9" s="176" t="s">
        <v>7</v>
      </c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" t="s">
        <v>8</v>
      </c>
      <c r="P9" s="17" t="s">
        <v>9</v>
      </c>
      <c r="Q9" s="6"/>
    </row>
    <row r="10" spans="1:25" s="7" customFormat="1" ht="66" customHeight="1" x14ac:dyDescent="0.25">
      <c r="A10" s="8"/>
      <c r="B10" s="18" t="s">
        <v>10</v>
      </c>
      <c r="C10" s="19" t="str">
        <f>VLOOKUP($B10,[1]ORÇ_ANALITICO!$A$10:$K$137,2,0)</f>
        <v>01.050.0300-0</v>
      </c>
      <c r="D10" s="157" t="str">
        <f>VLOOKUP($C10,[1]ORÇ_ANALITICO!$B$10:$L$137,4,0)</f>
        <v>RELATORIO FINAL DE OBRAS OU SERVICOS DE ENGENHARIA,REGISTROFOTOGRAFICO DOS SERVICOS,ACOMPANHADO DE LEGENDAS E INDICACAODA LOCALIZACAO,INFORMACOES CONTRATUAIS,PLANILHA ORCAMENTARIA E DESCRICAO DO ESCOPO DOS SERVICOS REALIZADOS,CONF.RECOMENDACOES E ESPECIFICACOES DO ORGAO CONTRATANTE.O ITEM DEVERA SER MEDIDO PELO NUMERO PRANCHAS ORIGINAIS COMPOE RELATORIO</v>
      </c>
      <c r="E10" s="157" t="e">
        <f>VLOOKUP(D10,[1]ORÇ_ANALITICO!#REF!,2,0)</f>
        <v>#VALUE!</v>
      </c>
      <c r="F10" s="157" t="e">
        <f>VLOOKUP(E10,[1]ORÇ_ANALITICO!#REF!,2,0)</f>
        <v>#VALUE!</v>
      </c>
      <c r="G10" s="157" t="e">
        <f>VLOOKUP(F10,[1]ORÇ_ANALITICO!#REF!,2,0)</f>
        <v>#VALUE!</v>
      </c>
      <c r="H10" s="157" t="e">
        <f>VLOOKUP(G10,[1]ORÇ_ANALITICO!#REF!,2,0)</f>
        <v>#VALUE!</v>
      </c>
      <c r="I10" s="157" t="e">
        <f>VLOOKUP(H10,[1]ORÇ_ANALITICO!#REF!,2,0)</f>
        <v>#VALUE!</v>
      </c>
      <c r="J10" s="157" t="e">
        <f>VLOOKUP(I10,[1]ORÇ_ANALITICO!#REF!,2,0)</f>
        <v>#VALUE!</v>
      </c>
      <c r="K10" s="157" t="e">
        <f>VLOOKUP(J10,[1]ORÇ_ANALITICO!#REF!,2,0)</f>
        <v>#VALUE!</v>
      </c>
      <c r="L10" s="157" t="e">
        <f>VLOOKUP(K10,[1]ORÇ_ANALITICO!#REF!,2,0)</f>
        <v>#VALUE!</v>
      </c>
      <c r="M10" s="157" t="e">
        <f>VLOOKUP(L10,[1]ORÇ_ANALITICO!#REF!,2,0)</f>
        <v>#VALUE!</v>
      </c>
      <c r="N10" s="157" t="e">
        <f>VLOOKUP(M10,[1]ORÇ_ANALITICO!#REF!,2,0)</f>
        <v>#VALUE!</v>
      </c>
      <c r="O10" s="20" t="str">
        <f>VLOOKUP($C10,[1]ORÇ_ANALITICO!$B$10:$L$137,5,0)</f>
        <v>UN</v>
      </c>
      <c r="P10" s="20">
        <f>I13</f>
        <v>1</v>
      </c>
      <c r="Q10" s="6"/>
      <c r="R10" s="7" t="e">
        <f>VLOOKUP(Q10,[1]ORÇ_ANALITICO!Q10:Z137,2,0)</f>
        <v>#N/A</v>
      </c>
      <c r="S10" s="7" t="e">
        <f>VLOOKUP(R10,[1]ORÇ_ANALITICO!R10:AA137,2,0)</f>
        <v>#N/A</v>
      </c>
      <c r="T10" s="7" t="e">
        <f>VLOOKUP(S10,[1]ORÇ_ANALITICO!S10:AB137,2,0)</f>
        <v>#N/A</v>
      </c>
      <c r="U10" s="7" t="e">
        <f>VLOOKUP(T10,[1]ORÇ_ANALITICO!T10:AC137,2,0)</f>
        <v>#N/A</v>
      </c>
      <c r="V10" s="7" t="e">
        <f>VLOOKUP(U10,[1]ORÇ_ANALITICO!U10:AD137,2,0)</f>
        <v>#N/A</v>
      </c>
      <c r="W10" s="7" t="e">
        <f>VLOOKUP(V10,[1]ORÇ_ANALITICO!V10:AE137,2,0)</f>
        <v>#N/A</v>
      </c>
      <c r="X10" s="7" t="e">
        <f>VLOOKUP(W10,[1]ORÇ_ANALITICO!W10:AF137,2,0)</f>
        <v>#N/A</v>
      </c>
      <c r="Y10" s="7" t="e">
        <f>VLOOKUP(X10,[1]ORÇ_ANALITICO!X10:AG137,2,0)</f>
        <v>#N/A</v>
      </c>
    </row>
    <row r="11" spans="1:25" s="7" customFormat="1" ht="66" customHeight="1" x14ac:dyDescent="0.25">
      <c r="A11" s="8"/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3"/>
      <c r="Q11" s="6"/>
    </row>
    <row r="12" spans="1:25" s="7" customFormat="1" ht="66" customHeight="1" x14ac:dyDescent="0.25">
      <c r="A12" s="8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3"/>
      <c r="Q12" s="6"/>
    </row>
    <row r="13" spans="1:25" s="7" customFormat="1" ht="66" customHeight="1" x14ac:dyDescent="0.25">
      <c r="A13" s="8"/>
      <c r="B13" s="21"/>
      <c r="C13" s="24"/>
      <c r="D13" s="24"/>
      <c r="E13" s="25"/>
      <c r="F13" s="169" t="s">
        <v>11</v>
      </c>
      <c r="G13" s="169"/>
      <c r="H13" s="24" t="s">
        <v>12</v>
      </c>
      <c r="I13" s="26">
        <v>1</v>
      </c>
      <c r="J13" s="27" t="s">
        <v>13</v>
      </c>
      <c r="K13" s="22"/>
      <c r="L13" s="22"/>
      <c r="M13" s="22"/>
      <c r="N13" s="22"/>
      <c r="O13" s="22"/>
      <c r="P13" s="23"/>
      <c r="Q13" s="6"/>
    </row>
    <row r="14" spans="1:25" s="7" customFormat="1" ht="66" customHeight="1" x14ac:dyDescent="0.25">
      <c r="A14" s="8"/>
      <c r="B14" s="21"/>
      <c r="C14" s="24"/>
      <c r="D14" s="24"/>
      <c r="E14" s="25"/>
      <c r="F14" s="24"/>
      <c r="G14" s="24"/>
      <c r="H14" s="24"/>
      <c r="I14" s="26"/>
      <c r="J14" s="27"/>
      <c r="K14" s="22"/>
      <c r="L14" s="22"/>
      <c r="M14" s="22"/>
      <c r="N14" s="22"/>
      <c r="O14" s="22"/>
      <c r="P14" s="23"/>
      <c r="Q14" s="6"/>
    </row>
    <row r="15" spans="1:25" s="7" customFormat="1" ht="66" customHeight="1" x14ac:dyDescent="0.25">
      <c r="A15" s="8"/>
      <c r="B15" s="18" t="s">
        <v>14</v>
      </c>
      <c r="C15" s="19" t="str">
        <f>VLOOKUP($B15,[1]ORÇ_ANALITICO!$A$10:$K$137,2,0)</f>
        <v>01.050.0518-0</v>
      </c>
      <c r="D15" s="157" t="str">
        <f>VLOOKUP($C15,[1]ORÇ_ANALITICO!$B$10:$L$137,4,0)</f>
        <v>PROJETO EXECUTIVO DE INSTALACAO ELETRICA,CONSIDERANDO O PROJETO BASICO EXISTENTE,PARA PREDIOS CULTURAIS ATE 3000M2,APRESENTADO NOS PADROES DA CONTRATANTE,INCLUSIVE AS LEGALIZACOESPERTINENTES</v>
      </c>
      <c r="E15" s="157" t="e">
        <f>VLOOKUP(D15,[1]ORÇ_ANALITICO!#REF!,2,0)</f>
        <v>#REF!</v>
      </c>
      <c r="F15" s="157" t="e">
        <f>VLOOKUP(E15,[1]ORÇ_ANALITICO!#REF!,2,0)</f>
        <v>#REF!</v>
      </c>
      <c r="G15" s="157" t="e">
        <f>VLOOKUP(F15,[1]ORÇ_ANALITICO!#REF!,2,0)</f>
        <v>#REF!</v>
      </c>
      <c r="H15" s="157" t="e">
        <f>VLOOKUP(G15,[1]ORÇ_ANALITICO!#REF!,2,0)</f>
        <v>#REF!</v>
      </c>
      <c r="I15" s="157" t="e">
        <f>VLOOKUP(H15,[1]ORÇ_ANALITICO!#REF!,2,0)</f>
        <v>#REF!</v>
      </c>
      <c r="J15" s="157" t="e">
        <f>VLOOKUP(I15,[1]ORÇ_ANALITICO!#REF!,2,0)</f>
        <v>#REF!</v>
      </c>
      <c r="K15" s="157" t="e">
        <f>VLOOKUP(J15,[1]ORÇ_ANALITICO!#REF!,2,0)</f>
        <v>#REF!</v>
      </c>
      <c r="L15" s="157" t="e">
        <f>VLOOKUP(K15,[1]ORÇ_ANALITICO!#REF!,2,0)</f>
        <v>#REF!</v>
      </c>
      <c r="M15" s="157" t="e">
        <f>VLOOKUP(L15,[1]ORÇ_ANALITICO!#REF!,2,0)</f>
        <v>#REF!</v>
      </c>
      <c r="N15" s="157" t="e">
        <f>VLOOKUP(M15,[1]ORÇ_ANALITICO!#REF!,2,0)</f>
        <v>#REF!</v>
      </c>
      <c r="O15" s="20" t="str">
        <f>VLOOKUP($C15,[1]ORÇ_ANALITICO!$B$10:$L$137,5,0)</f>
        <v>M2</v>
      </c>
      <c r="P15" s="20">
        <f>I20</f>
        <v>1081.3399999999999</v>
      </c>
      <c r="Q15" s="6"/>
    </row>
    <row r="16" spans="1:25" s="7" customFormat="1" ht="66" customHeight="1" x14ac:dyDescent="0.25">
      <c r="A16" s="8"/>
      <c r="B16" s="21"/>
      <c r="C16" s="24"/>
      <c r="D16" s="24"/>
      <c r="E16" s="25"/>
      <c r="F16" s="24"/>
      <c r="G16" s="24"/>
      <c r="H16" s="24"/>
      <c r="I16" s="26"/>
      <c r="J16" s="27"/>
      <c r="K16" s="22"/>
      <c r="L16" s="22"/>
      <c r="M16" s="22"/>
      <c r="N16" s="22"/>
      <c r="O16" s="22"/>
      <c r="P16" s="23"/>
      <c r="Q16" s="6"/>
    </row>
    <row r="17" spans="1:17" s="7" customFormat="1" ht="66" customHeight="1" x14ac:dyDescent="0.25">
      <c r="A17" s="8"/>
      <c r="B17" s="21"/>
      <c r="C17" s="24"/>
      <c r="D17" s="24"/>
      <c r="E17" s="25"/>
      <c r="F17" s="169" t="s">
        <v>15</v>
      </c>
      <c r="G17" s="169"/>
      <c r="H17" s="24" t="s">
        <v>12</v>
      </c>
      <c r="I17" s="26">
        <v>119.46</v>
      </c>
      <c r="J17" s="27" t="s">
        <v>16</v>
      </c>
      <c r="K17" s="22"/>
      <c r="L17" s="22"/>
      <c r="M17" s="22"/>
      <c r="N17" s="22"/>
      <c r="O17" s="22"/>
      <c r="P17" s="23"/>
      <c r="Q17" s="6"/>
    </row>
    <row r="18" spans="1:17" s="7" customFormat="1" ht="66" customHeight="1" x14ac:dyDescent="0.25">
      <c r="A18" s="8"/>
      <c r="B18" s="21"/>
      <c r="C18" s="24"/>
      <c r="D18" s="24"/>
      <c r="E18" s="25"/>
      <c r="F18" s="169" t="s">
        <v>17</v>
      </c>
      <c r="G18" s="169"/>
      <c r="H18" s="24" t="s">
        <v>12</v>
      </c>
      <c r="I18" s="26">
        <v>480.94</v>
      </c>
      <c r="J18" s="27" t="s">
        <v>16</v>
      </c>
      <c r="K18" s="22"/>
      <c r="L18" s="22"/>
      <c r="M18" s="22"/>
      <c r="N18" s="22"/>
      <c r="O18" s="22"/>
      <c r="P18" s="23"/>
      <c r="Q18" s="6"/>
    </row>
    <row r="19" spans="1:17" s="7" customFormat="1" ht="66" customHeight="1" x14ac:dyDescent="0.25">
      <c r="A19" s="8"/>
      <c r="B19" s="21"/>
      <c r="C19" s="24"/>
      <c r="D19" s="24"/>
      <c r="E19" s="25"/>
      <c r="F19" s="169" t="s">
        <v>15</v>
      </c>
      <c r="G19" s="169"/>
      <c r="H19" s="24" t="s">
        <v>12</v>
      </c>
      <c r="I19" s="26">
        <v>480.94</v>
      </c>
      <c r="J19" s="27" t="s">
        <v>16</v>
      </c>
      <c r="K19" s="22"/>
      <c r="L19" s="22"/>
      <c r="M19" s="22"/>
      <c r="N19" s="22"/>
      <c r="O19" s="22"/>
      <c r="P19" s="23"/>
      <c r="Q19" s="6"/>
    </row>
    <row r="20" spans="1:17" s="7" customFormat="1" ht="66" customHeight="1" x14ac:dyDescent="0.25">
      <c r="A20" s="8"/>
      <c r="B20" s="21"/>
      <c r="C20" s="24"/>
      <c r="D20" s="24"/>
      <c r="E20" s="25"/>
      <c r="F20" s="24"/>
      <c r="G20" s="24"/>
      <c r="H20" s="24" t="s">
        <v>12</v>
      </c>
      <c r="I20" s="26">
        <f>I17+I18+I19</f>
        <v>1081.3399999999999</v>
      </c>
      <c r="J20" s="27" t="s">
        <v>16</v>
      </c>
      <c r="K20" s="22"/>
      <c r="L20" s="22"/>
      <c r="M20" s="22"/>
      <c r="N20" s="22"/>
      <c r="O20" s="22"/>
      <c r="P20" s="23"/>
      <c r="Q20" s="6"/>
    </row>
    <row r="21" spans="1:17" s="7" customFormat="1" ht="66" customHeight="1" x14ac:dyDescent="0.25">
      <c r="A21" s="8"/>
      <c r="B21" s="21"/>
      <c r="C21" s="24"/>
      <c r="D21" s="24"/>
      <c r="E21" s="25"/>
      <c r="F21" s="24"/>
      <c r="G21" s="24"/>
      <c r="H21" s="24"/>
      <c r="I21" s="26"/>
      <c r="J21" s="27"/>
      <c r="K21" s="22"/>
      <c r="L21" s="22"/>
      <c r="M21" s="22"/>
      <c r="N21" s="22"/>
      <c r="O21" s="22"/>
      <c r="P21" s="23"/>
      <c r="Q21" s="6"/>
    </row>
    <row r="22" spans="1:17" s="7" customFormat="1" ht="66" customHeight="1" x14ac:dyDescent="0.25">
      <c r="A22" s="8"/>
      <c r="B22" s="18" t="s">
        <v>18</v>
      </c>
      <c r="C22" s="19" t="str">
        <f>VLOOKUP($B22,[1]ORÇ_ANALITICO!$A$10:$K$137,2,0)</f>
        <v>01.050.0380-0</v>
      </c>
      <c r="D22" s="157" t="str">
        <f>VLOOKUP($C22,[1]ORÇ_ANALITICO!$B$10:$L$137,4,0)</f>
        <v>PROJETO EXECUTIVO DE INSTALACAO DE INCENDIO E SPDA,CONSIDERANDO PROJETO BASICO EXISTENTE,PARA PREDIOS CULTURAIS ACIMA DE500M2,APRESENTADO NOS PADROES DA CONTRATANTE,INCLUSIVE AS LEGALIZACOES PERTINENTES</v>
      </c>
      <c r="E22" s="157" t="e">
        <f>VLOOKUP(D22,[1]ORÇ_ANALITICO!#REF!,2,0)</f>
        <v>#REF!</v>
      </c>
      <c r="F22" s="157" t="e">
        <f>VLOOKUP(E22,[1]ORÇ_ANALITICO!#REF!,2,0)</f>
        <v>#REF!</v>
      </c>
      <c r="G22" s="157" t="e">
        <f>VLOOKUP(F22,[1]ORÇ_ANALITICO!#REF!,2,0)</f>
        <v>#REF!</v>
      </c>
      <c r="H22" s="157" t="e">
        <f>VLOOKUP(G22,[1]ORÇ_ANALITICO!#REF!,2,0)</f>
        <v>#REF!</v>
      </c>
      <c r="I22" s="157" t="e">
        <f>VLOOKUP(H22,[1]ORÇ_ANALITICO!#REF!,2,0)</f>
        <v>#REF!</v>
      </c>
      <c r="J22" s="157" t="e">
        <f>VLOOKUP(I22,[1]ORÇ_ANALITICO!#REF!,2,0)</f>
        <v>#REF!</v>
      </c>
      <c r="K22" s="157" t="e">
        <f>VLOOKUP(J22,[1]ORÇ_ANALITICO!#REF!,2,0)</f>
        <v>#REF!</v>
      </c>
      <c r="L22" s="157" t="e">
        <f>VLOOKUP(K22,[1]ORÇ_ANALITICO!#REF!,2,0)</f>
        <v>#REF!</v>
      </c>
      <c r="M22" s="157" t="e">
        <f>VLOOKUP(L22,[1]ORÇ_ANALITICO!#REF!,2,0)</f>
        <v>#REF!</v>
      </c>
      <c r="N22" s="157" t="e">
        <f>VLOOKUP(M22,[1]ORÇ_ANALITICO!#REF!,2,0)</f>
        <v>#REF!</v>
      </c>
      <c r="O22" s="20" t="str">
        <f>VLOOKUP($C22,[1]ORÇ_ANALITICO!$B$10:$L$137,5,0)</f>
        <v>M2</v>
      </c>
      <c r="P22" s="20">
        <f>I27</f>
        <v>1081.3399999999999</v>
      </c>
      <c r="Q22" s="6"/>
    </row>
    <row r="23" spans="1:17" s="7" customFormat="1" ht="66" customHeight="1" x14ac:dyDescent="0.25">
      <c r="A23" s="8"/>
      <c r="B23" s="21"/>
      <c r="C23" s="24"/>
      <c r="D23" s="24"/>
      <c r="E23" s="25"/>
      <c r="F23" s="24"/>
      <c r="G23" s="24"/>
      <c r="H23" s="24"/>
      <c r="I23" s="26"/>
      <c r="J23" s="27"/>
      <c r="K23" s="22"/>
      <c r="L23" s="22"/>
      <c r="M23" s="22"/>
      <c r="N23" s="22"/>
      <c r="O23" s="22"/>
      <c r="P23" s="23"/>
      <c r="Q23" s="6"/>
    </row>
    <row r="24" spans="1:17" s="7" customFormat="1" ht="66" customHeight="1" x14ac:dyDescent="0.25">
      <c r="A24" s="8"/>
      <c r="B24" s="21"/>
      <c r="C24" s="24"/>
      <c r="D24" s="24"/>
      <c r="E24" s="25"/>
      <c r="F24" s="169" t="s">
        <v>15</v>
      </c>
      <c r="G24" s="169"/>
      <c r="H24" s="24" t="s">
        <v>12</v>
      </c>
      <c r="I24" s="26">
        <v>119.46</v>
      </c>
      <c r="J24" s="27" t="s">
        <v>16</v>
      </c>
      <c r="K24" s="22"/>
      <c r="L24" s="22"/>
      <c r="M24" s="22"/>
      <c r="N24" s="22"/>
      <c r="O24" s="22"/>
      <c r="P24" s="23"/>
      <c r="Q24" s="6"/>
    </row>
    <row r="25" spans="1:17" s="7" customFormat="1" ht="66" customHeight="1" x14ac:dyDescent="0.25">
      <c r="A25" s="8"/>
      <c r="B25" s="21"/>
      <c r="C25" s="24"/>
      <c r="D25" s="24"/>
      <c r="E25" s="25"/>
      <c r="F25" s="169" t="s">
        <v>17</v>
      </c>
      <c r="G25" s="169"/>
      <c r="H25" s="24" t="s">
        <v>12</v>
      </c>
      <c r="I25" s="26">
        <v>480.94</v>
      </c>
      <c r="J25" s="27" t="s">
        <v>16</v>
      </c>
      <c r="K25" s="22"/>
      <c r="L25" s="22"/>
      <c r="M25" s="22"/>
      <c r="N25" s="22"/>
      <c r="O25" s="22"/>
      <c r="P25" s="23"/>
      <c r="Q25" s="6"/>
    </row>
    <row r="26" spans="1:17" s="7" customFormat="1" ht="66" customHeight="1" x14ac:dyDescent="0.25">
      <c r="A26" s="8"/>
      <c r="B26" s="21"/>
      <c r="C26" s="24"/>
      <c r="D26" s="24"/>
      <c r="E26" s="25"/>
      <c r="F26" s="169" t="s">
        <v>15</v>
      </c>
      <c r="G26" s="169"/>
      <c r="H26" s="24" t="s">
        <v>12</v>
      </c>
      <c r="I26" s="26">
        <v>480.94</v>
      </c>
      <c r="J26" s="27" t="s">
        <v>16</v>
      </c>
      <c r="K26" s="22"/>
      <c r="L26" s="22"/>
      <c r="M26" s="22"/>
      <c r="N26" s="22"/>
      <c r="O26" s="22"/>
      <c r="P26" s="23"/>
      <c r="Q26" s="6"/>
    </row>
    <row r="27" spans="1:17" s="7" customFormat="1" ht="66" customHeight="1" x14ac:dyDescent="0.25">
      <c r="A27" s="8"/>
      <c r="B27" s="21"/>
      <c r="C27" s="24"/>
      <c r="D27" s="24"/>
      <c r="E27" s="25"/>
      <c r="F27" s="24"/>
      <c r="G27" s="24"/>
      <c r="H27" s="24" t="s">
        <v>12</v>
      </c>
      <c r="I27" s="26">
        <f>I24+I25+I26</f>
        <v>1081.3399999999999</v>
      </c>
      <c r="J27" s="27" t="s">
        <v>16</v>
      </c>
      <c r="K27" s="22"/>
      <c r="L27" s="22"/>
      <c r="M27" s="22"/>
      <c r="N27" s="22"/>
      <c r="O27" s="22"/>
      <c r="P27" s="23"/>
      <c r="Q27" s="6"/>
    </row>
    <row r="28" spans="1:17" s="7" customFormat="1" ht="66" customHeight="1" x14ac:dyDescent="0.25">
      <c r="A28" s="8"/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3"/>
      <c r="Q28" s="6"/>
    </row>
    <row r="29" spans="1:17" s="7" customFormat="1" ht="66" customHeight="1" x14ac:dyDescent="0.25">
      <c r="A29" s="8"/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0"/>
      <c r="Q29" s="6"/>
    </row>
    <row r="30" spans="1:17" s="7" customFormat="1" ht="66" customHeight="1" x14ac:dyDescent="0.25">
      <c r="A30" s="8"/>
      <c r="B30" s="18" t="s">
        <v>19</v>
      </c>
      <c r="C30" s="19" t="str">
        <f>VLOOKUP($B30,[2]ORÇ_ANALITICO!$B$10:$L$137,2,0)</f>
        <v>01.050.0022-0</v>
      </c>
      <c r="D30" s="157" t="str">
        <f>VLOOKUP($C30,[2]ORÇ_ANALITICO!$C$10:$M$137,4,0)</f>
        <v>PROJETO EXECUTIVO DE ARQUITETURA PARA PREDIOS CULTURAIS ATE500M2,INCLUSIVE PROJETO BASICO,APRESENTADO NOS PADROES DA CONTRATANTE,INCLUSIVE AS LEGALIZACOES PERTINENTES,COORDENACAOE COMPATIBILIZACAO COM OS PROJETOS COMPLEMENTARES</v>
      </c>
      <c r="E30" s="157" t="e">
        <f>VLOOKUP(D30,[2]ORÇ_ANALITICO!#REF!,2,0)</f>
        <v>#REF!</v>
      </c>
      <c r="F30" s="157" t="e">
        <f>VLOOKUP(E30,[2]ORÇ_ANALITICO!#REF!,2,0)</f>
        <v>#REF!</v>
      </c>
      <c r="G30" s="157" t="e">
        <f>VLOOKUP(F30,[2]ORÇ_ANALITICO!#REF!,2,0)</f>
        <v>#REF!</v>
      </c>
      <c r="H30" s="157" t="e">
        <f>VLOOKUP(G30,[2]ORÇ_ANALITICO!#REF!,2,0)</f>
        <v>#REF!</v>
      </c>
      <c r="I30" s="157" t="e">
        <f>VLOOKUP(H30,[2]ORÇ_ANALITICO!#REF!,2,0)</f>
        <v>#REF!</v>
      </c>
      <c r="J30" s="157" t="e">
        <f>VLOOKUP(I30,[2]ORÇ_ANALITICO!#REF!,2,0)</f>
        <v>#REF!</v>
      </c>
      <c r="K30" s="157" t="e">
        <f>VLOOKUP(J30,[2]ORÇ_ANALITICO!#REF!,2,0)</f>
        <v>#REF!</v>
      </c>
      <c r="L30" s="157" t="e">
        <f>VLOOKUP(K30,[2]ORÇ_ANALITICO!#REF!,2,0)</f>
        <v>#REF!</v>
      </c>
      <c r="M30" s="157" t="e">
        <f>VLOOKUP(L30,[2]ORÇ_ANALITICO!#REF!,2,0)</f>
        <v>#REF!</v>
      </c>
      <c r="N30" s="157" t="e">
        <f>VLOOKUP(M30,[2]ORÇ_ANALITICO!#REF!,2,0)</f>
        <v>#REF!</v>
      </c>
      <c r="O30" s="20" t="str">
        <f>VLOOKUP($C30,[2]ORÇ_ANALITICO!$C$10:$M$137,5,0)</f>
        <v>M2</v>
      </c>
      <c r="P30" s="20">
        <f>K33</f>
        <v>581.33999999999992</v>
      </c>
      <c r="Q30" s="6"/>
    </row>
    <row r="31" spans="1:17" s="7" customFormat="1" ht="66" customHeight="1" x14ac:dyDescent="0.25">
      <c r="A31" s="8"/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3"/>
      <c r="Q31" s="6"/>
    </row>
    <row r="32" spans="1:17" s="7" customFormat="1" ht="66" customHeight="1" x14ac:dyDescent="0.25">
      <c r="A32" s="8"/>
      <c r="B32" s="21"/>
      <c r="C32" s="22"/>
      <c r="D32" s="22"/>
      <c r="E32" s="22"/>
      <c r="F32" s="169" t="s">
        <v>15</v>
      </c>
      <c r="G32" s="169"/>
      <c r="H32" s="24" t="s">
        <v>12</v>
      </c>
      <c r="I32" s="26">
        <v>119.46</v>
      </c>
      <c r="J32" s="27" t="s">
        <v>16</v>
      </c>
      <c r="K32" s="22"/>
      <c r="L32" s="22"/>
      <c r="M32" s="22"/>
      <c r="N32" s="22"/>
      <c r="O32" s="22"/>
      <c r="P32" s="23"/>
      <c r="Q32" s="6"/>
    </row>
    <row r="33" spans="1:17" s="7" customFormat="1" ht="66" customHeight="1" x14ac:dyDescent="0.25">
      <c r="A33" s="8"/>
      <c r="B33" s="21"/>
      <c r="C33" s="22"/>
      <c r="D33" s="22"/>
      <c r="E33" s="22"/>
      <c r="F33" s="169" t="s">
        <v>17</v>
      </c>
      <c r="G33" s="169"/>
      <c r="H33" s="24" t="s">
        <v>12</v>
      </c>
      <c r="I33" s="26">
        <v>480.94</v>
      </c>
      <c r="J33" s="27" t="s">
        <v>16</v>
      </c>
      <c r="K33" s="31">
        <f>I35-P36</f>
        <v>581.33999999999992</v>
      </c>
      <c r="L33" s="22"/>
      <c r="M33" s="22"/>
      <c r="N33" s="22"/>
      <c r="O33" s="22"/>
      <c r="P33" s="23"/>
      <c r="Q33" s="6"/>
    </row>
    <row r="34" spans="1:17" s="7" customFormat="1" ht="66" customHeight="1" x14ac:dyDescent="0.25">
      <c r="A34" s="8"/>
      <c r="B34" s="21"/>
      <c r="C34" s="22"/>
      <c r="D34" s="22"/>
      <c r="E34" s="22"/>
      <c r="F34" s="169" t="s">
        <v>15</v>
      </c>
      <c r="G34" s="169"/>
      <c r="H34" s="24" t="s">
        <v>12</v>
      </c>
      <c r="I34" s="26">
        <v>480.94</v>
      </c>
      <c r="J34" s="27" t="s">
        <v>16</v>
      </c>
      <c r="K34" s="22"/>
      <c r="L34" s="22"/>
      <c r="M34" s="22"/>
      <c r="N34" s="22"/>
      <c r="O34" s="22"/>
      <c r="P34" s="23"/>
      <c r="Q34" s="6"/>
    </row>
    <row r="35" spans="1:17" s="7" customFormat="1" ht="66" customHeight="1" x14ac:dyDescent="0.25">
      <c r="A35" s="8"/>
      <c r="B35" s="21"/>
      <c r="C35" s="22"/>
      <c r="D35" s="22"/>
      <c r="E35" s="22"/>
      <c r="F35" s="24"/>
      <c r="G35" s="24"/>
      <c r="H35" s="24" t="s">
        <v>12</v>
      </c>
      <c r="I35" s="26">
        <f>I32+I33+I34</f>
        <v>1081.3399999999999</v>
      </c>
      <c r="J35" s="27" t="s">
        <v>16</v>
      </c>
      <c r="K35" s="22"/>
      <c r="L35" s="22"/>
      <c r="M35" s="22"/>
      <c r="N35" s="22"/>
      <c r="O35" s="22"/>
      <c r="P35" s="23"/>
      <c r="Q35" s="6"/>
    </row>
    <row r="36" spans="1:17" s="7" customFormat="1" ht="66" customHeight="1" x14ac:dyDescent="0.25">
      <c r="A36" s="8"/>
      <c r="B36" s="18" t="s">
        <v>20</v>
      </c>
      <c r="C36" s="19" t="str">
        <f>VLOOKUP($B36,[2]ORÇ_ANALITICO!$B$10:$L$137,2,0)</f>
        <v>01.050.0023-0</v>
      </c>
      <c r="D36" s="157" t="str">
        <f>VLOOKUP($C36,[2]ORÇ_ANALITICO!$C$10:$M$137,4,0)</f>
        <v>PROJETO EXECUTIVO DE ARQUITETURA PARA PREDIOS CULTURAIS DE 501 ATE 3.000M2,INCLUSIVE PROJETO BASICO,APRESENTADO NOS PADROES DA CONTRATANTE,INCLUSIVE AS LEGALIZACOES PERTINENTES,COORDENACAO E COMPATIBILIZACAO COM OS PROJETOS COMPLEMENTARES</v>
      </c>
      <c r="E36" s="157" t="e">
        <f>VLOOKUP(D36,[2]ORÇ_ANALITICO!#REF!,2,0)</f>
        <v>#REF!</v>
      </c>
      <c r="F36" s="157" t="e">
        <f>VLOOKUP(E36,[2]ORÇ_ANALITICO!#REF!,2,0)</f>
        <v>#REF!</v>
      </c>
      <c r="G36" s="157" t="e">
        <f>VLOOKUP(F36,[2]ORÇ_ANALITICO!#REF!,2,0)</f>
        <v>#REF!</v>
      </c>
      <c r="H36" s="157" t="e">
        <f>VLOOKUP(G36,[2]ORÇ_ANALITICO!#REF!,2,0)</f>
        <v>#REF!</v>
      </c>
      <c r="I36" s="157" t="e">
        <f>VLOOKUP(H36,[2]ORÇ_ANALITICO!#REF!,2,0)</f>
        <v>#REF!</v>
      </c>
      <c r="J36" s="157" t="e">
        <f>VLOOKUP(I36,[2]ORÇ_ANALITICO!#REF!,2,0)</f>
        <v>#REF!</v>
      </c>
      <c r="K36" s="157" t="e">
        <f>VLOOKUP(J36,[2]ORÇ_ANALITICO!#REF!,2,0)</f>
        <v>#REF!</v>
      </c>
      <c r="L36" s="157" t="e">
        <f>VLOOKUP(K36,[2]ORÇ_ANALITICO!#REF!,2,0)</f>
        <v>#REF!</v>
      </c>
      <c r="M36" s="157" t="e">
        <f>VLOOKUP(L36,[2]ORÇ_ANALITICO!#REF!,2,0)</f>
        <v>#REF!</v>
      </c>
      <c r="N36" s="157" t="e">
        <f>VLOOKUP(M36,[2]ORÇ_ANALITICO!#REF!,2,0)</f>
        <v>#REF!</v>
      </c>
      <c r="O36" s="20" t="str">
        <f>VLOOKUP($C36,[2]ORÇ_ANALITICO!$C$10:$M$137,5,0)</f>
        <v>M2</v>
      </c>
      <c r="P36" s="20">
        <v>500</v>
      </c>
      <c r="Q36" s="6"/>
    </row>
    <row r="37" spans="1:17" s="7" customFormat="1" ht="66" customHeight="1" x14ac:dyDescent="0.25">
      <c r="A37" s="8"/>
      <c r="B37" s="2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3"/>
      <c r="Q37" s="6"/>
    </row>
    <row r="38" spans="1:17" s="7" customFormat="1" ht="66" customHeight="1" x14ac:dyDescent="0.25">
      <c r="A38" s="8"/>
      <c r="B38" s="21"/>
      <c r="C38" s="22"/>
      <c r="D38" s="22"/>
      <c r="E38" s="22"/>
      <c r="F38" s="169" t="s">
        <v>15</v>
      </c>
      <c r="G38" s="169"/>
      <c r="H38" s="24" t="s">
        <v>12</v>
      </c>
      <c r="I38" s="26">
        <v>119.46</v>
      </c>
      <c r="J38" s="27" t="s">
        <v>16</v>
      </c>
      <c r="K38" s="22"/>
      <c r="L38" s="22"/>
      <c r="M38" s="22"/>
      <c r="N38" s="22"/>
      <c r="O38" s="22"/>
      <c r="P38" s="23"/>
      <c r="Q38" s="6"/>
    </row>
    <row r="39" spans="1:17" s="7" customFormat="1" ht="66" customHeight="1" x14ac:dyDescent="0.25">
      <c r="A39" s="8"/>
      <c r="B39" s="21"/>
      <c r="C39" s="22"/>
      <c r="D39" s="22"/>
      <c r="E39" s="22"/>
      <c r="F39" s="169" t="s">
        <v>17</v>
      </c>
      <c r="G39" s="169"/>
      <c r="H39" s="24" t="s">
        <v>12</v>
      </c>
      <c r="I39" s="26">
        <v>480.94</v>
      </c>
      <c r="J39" s="27" t="s">
        <v>16</v>
      </c>
      <c r="K39" s="22"/>
      <c r="L39" s="22"/>
      <c r="M39" s="22"/>
      <c r="N39" s="22"/>
      <c r="O39" s="22"/>
      <c r="P39" s="23"/>
      <c r="Q39" s="6"/>
    </row>
    <row r="40" spans="1:17" s="7" customFormat="1" ht="66" customHeight="1" x14ac:dyDescent="0.25">
      <c r="A40" s="8"/>
      <c r="B40" s="21"/>
      <c r="C40" s="22"/>
      <c r="D40" s="22"/>
      <c r="E40" s="22"/>
      <c r="F40" s="169" t="s">
        <v>15</v>
      </c>
      <c r="G40" s="169"/>
      <c r="H40" s="24" t="s">
        <v>12</v>
      </c>
      <c r="I40" s="26">
        <v>480.94</v>
      </c>
      <c r="J40" s="27" t="s">
        <v>16</v>
      </c>
      <c r="K40" s="22"/>
      <c r="L40" s="22"/>
      <c r="M40" s="22"/>
      <c r="N40" s="22"/>
      <c r="O40" s="22"/>
      <c r="P40" s="23"/>
      <c r="Q40" s="6"/>
    </row>
    <row r="41" spans="1:17" s="7" customFormat="1" ht="66" customHeight="1" x14ac:dyDescent="0.25">
      <c r="A41" s="8"/>
      <c r="B41" s="21"/>
      <c r="C41" s="22"/>
      <c r="D41" s="22"/>
      <c r="E41" s="22"/>
      <c r="F41" s="24"/>
      <c r="G41" s="24"/>
      <c r="H41" s="24" t="s">
        <v>12</v>
      </c>
      <c r="I41" s="26">
        <f>I38+I39+I40</f>
        <v>1081.3399999999999</v>
      </c>
      <c r="J41" s="27" t="s">
        <v>16</v>
      </c>
      <c r="K41" s="22"/>
      <c r="L41" s="22"/>
      <c r="M41" s="22"/>
      <c r="N41" s="22"/>
      <c r="O41" s="22"/>
      <c r="P41" s="23"/>
      <c r="Q41" s="6"/>
    </row>
    <row r="42" spans="1:17" s="7" customFormat="1" ht="66" customHeight="1" x14ac:dyDescent="0.25">
      <c r="A42" s="8"/>
      <c r="B42" s="28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30"/>
      <c r="Q42" s="6"/>
    </row>
    <row r="43" spans="1:17" s="7" customFormat="1" ht="66" customHeight="1" x14ac:dyDescent="0.25">
      <c r="A43" s="8"/>
      <c r="B43" s="162" t="str">
        <f>[1]ORÇ_ANALITICO!B16</f>
        <v>CANTEIRO DE OBRAS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  <c r="Q43" s="6"/>
    </row>
    <row r="44" spans="1:17" s="7" customFormat="1" ht="66" customHeight="1" x14ac:dyDescent="0.25">
      <c r="A44" s="8"/>
      <c r="B44" s="18" t="s">
        <v>21</v>
      </c>
      <c r="C44" s="19" t="str">
        <f>VLOOKUP($B44,[1]ORÇ_ANALITICO!$A$10:$K$137,2,0)</f>
        <v>02.020.0002-0</v>
      </c>
      <c r="D44" s="157" t="str">
        <f>VLOOKUP($C44,[1]ORÇ_ANALITICO!$B$10:$L$137,4,0)</f>
        <v>PLACA DE IDENTIFICACAO DE OBRA PUBLICA,TIPO BANNER/PLOTTER,CONSTITUIDA POR LONA E IMPRESSAO DIGITAL,INCLUSIVE SUPORTES DE MADEIRA.FORNECIMENTO E COLOCACAO</v>
      </c>
      <c r="E44" s="157" t="e">
        <f>VLOOKUP(D44,[1]ORÇ_ANALITICO!#REF!,2,0)</f>
        <v>#REF!</v>
      </c>
      <c r="F44" s="157" t="e">
        <f>VLOOKUP(E44,[1]ORÇ_ANALITICO!#REF!,2,0)</f>
        <v>#REF!</v>
      </c>
      <c r="G44" s="157" t="e">
        <f>VLOOKUP(F44,[1]ORÇ_ANALITICO!#REF!,2,0)</f>
        <v>#REF!</v>
      </c>
      <c r="H44" s="157" t="e">
        <f>VLOOKUP(G44,[1]ORÇ_ANALITICO!#REF!,2,0)</f>
        <v>#REF!</v>
      </c>
      <c r="I44" s="157" t="e">
        <f>VLOOKUP(H44,[1]ORÇ_ANALITICO!#REF!,2,0)</f>
        <v>#REF!</v>
      </c>
      <c r="J44" s="157" t="e">
        <f>VLOOKUP(I44,[1]ORÇ_ANALITICO!#REF!,2,0)</f>
        <v>#REF!</v>
      </c>
      <c r="K44" s="157" t="e">
        <f>VLOOKUP(J44,[1]ORÇ_ANALITICO!#REF!,2,0)</f>
        <v>#REF!</v>
      </c>
      <c r="L44" s="157" t="e">
        <f>VLOOKUP(K44,[1]ORÇ_ANALITICO!#REF!,2,0)</f>
        <v>#REF!</v>
      </c>
      <c r="M44" s="157" t="e">
        <f>VLOOKUP(L44,[1]ORÇ_ANALITICO!#REF!,2,0)</f>
        <v>#REF!</v>
      </c>
      <c r="N44" s="157" t="e">
        <f>VLOOKUP(M44,[1]ORÇ_ANALITICO!#REF!,2,0)</f>
        <v>#REF!</v>
      </c>
      <c r="O44" s="20" t="str">
        <f>VLOOKUP($C44,[1]ORÇ_ANALITICO!$B$10:$L$137,5,0)</f>
        <v>M2</v>
      </c>
      <c r="P44" s="20">
        <f>I48</f>
        <v>8</v>
      </c>
      <c r="Q44" s="16"/>
    </row>
    <row r="45" spans="1:17" s="7" customFormat="1" ht="66" customHeight="1" x14ac:dyDescent="0.25">
      <c r="A45" s="8"/>
      <c r="B45" s="8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3"/>
      <c r="Q45" s="6"/>
    </row>
    <row r="46" spans="1:17" s="7" customFormat="1" ht="66" customHeight="1" x14ac:dyDescent="0.25">
      <c r="A46" s="8"/>
      <c r="B46" s="8"/>
      <c r="C46" s="32"/>
      <c r="D46" s="32"/>
      <c r="E46" s="24" t="s">
        <v>22</v>
      </c>
      <c r="F46" s="32"/>
      <c r="G46" s="24" t="s">
        <v>23</v>
      </c>
      <c r="H46" s="32"/>
      <c r="I46" s="32"/>
      <c r="J46" s="32"/>
      <c r="K46" s="32"/>
      <c r="L46" s="32"/>
      <c r="M46" s="32"/>
      <c r="N46" s="32"/>
      <c r="O46" s="32"/>
      <c r="P46" s="33"/>
      <c r="Q46" s="6"/>
    </row>
    <row r="47" spans="1:17" s="7" customFormat="1" ht="66" customHeight="1" x14ac:dyDescent="0.25">
      <c r="A47" s="8"/>
      <c r="B47" s="8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3"/>
      <c r="Q47" s="6"/>
    </row>
    <row r="48" spans="1:17" s="7" customFormat="1" ht="66" customHeight="1" x14ac:dyDescent="0.25">
      <c r="A48" s="8"/>
      <c r="B48" s="8"/>
      <c r="C48" s="24"/>
      <c r="D48" s="24"/>
      <c r="E48" s="25">
        <v>4</v>
      </c>
      <c r="F48" s="24" t="s">
        <v>24</v>
      </c>
      <c r="G48" s="25">
        <v>2</v>
      </c>
      <c r="H48" s="24" t="s">
        <v>12</v>
      </c>
      <c r="I48" s="26">
        <f>E48*G48</f>
        <v>8</v>
      </c>
      <c r="J48" s="27" t="s">
        <v>25</v>
      </c>
      <c r="K48" s="32"/>
      <c r="L48" s="32"/>
      <c r="M48" s="32"/>
      <c r="N48" s="32"/>
      <c r="O48" s="32"/>
      <c r="P48" s="33"/>
      <c r="Q48" s="6"/>
    </row>
    <row r="49" spans="1:17" s="7" customFormat="1" ht="66" customHeight="1" x14ac:dyDescent="0.25">
      <c r="A49" s="8"/>
      <c r="B49" s="8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3"/>
      <c r="Q49" s="6"/>
    </row>
    <row r="50" spans="1:17" s="7" customFormat="1" ht="66" customHeight="1" x14ac:dyDescent="0.25">
      <c r="A50" s="8"/>
      <c r="B50" s="18" t="s">
        <v>26</v>
      </c>
      <c r="C50" s="19" t="str">
        <f>VLOOKUP($B50,[1]ORÇ_ANALITICO!$A$10:$K$137,2,0)</f>
        <v>02.004.0001-0</v>
      </c>
      <c r="D50" s="157" t="str">
        <f>VLOOKUP($C50,[1]ORÇ_ANALITICO!$B$10:$L$137,4,0)</f>
        <v>BARRACAO DE OBRA,COM PAREDES E PISO DE TABUAS DE MADEIRA DE3ª,COBERTURA DE TELHAS DE FIBROCIMENTO DE 6MM,E INSTALACOES,EXCLUSIVE PINTURA,SENDO REAPROVEITADO 2 VEZES</v>
      </c>
      <c r="E50" s="157" t="e">
        <f>VLOOKUP(D50,[1]ORÇ_ANALITICO!#REF!,2,0)</f>
        <v>#REF!</v>
      </c>
      <c r="F50" s="157" t="e">
        <f>VLOOKUP(E50,[1]ORÇ_ANALITICO!#REF!,2,0)</f>
        <v>#REF!</v>
      </c>
      <c r="G50" s="157" t="e">
        <f>VLOOKUP(F50,[1]ORÇ_ANALITICO!#REF!,2,0)</f>
        <v>#REF!</v>
      </c>
      <c r="H50" s="157" t="e">
        <f>VLOOKUP(G50,[1]ORÇ_ANALITICO!#REF!,2,0)</f>
        <v>#REF!</v>
      </c>
      <c r="I50" s="157" t="e">
        <f>VLOOKUP(H50,[1]ORÇ_ANALITICO!#REF!,2,0)</f>
        <v>#REF!</v>
      </c>
      <c r="J50" s="157" t="e">
        <f>VLOOKUP(I50,[1]ORÇ_ANALITICO!#REF!,2,0)</f>
        <v>#REF!</v>
      </c>
      <c r="K50" s="157" t="e">
        <f>VLOOKUP(J50,[1]ORÇ_ANALITICO!#REF!,2,0)</f>
        <v>#REF!</v>
      </c>
      <c r="L50" s="157" t="e">
        <f>VLOOKUP(K50,[1]ORÇ_ANALITICO!#REF!,2,0)</f>
        <v>#REF!</v>
      </c>
      <c r="M50" s="157" t="e">
        <f>VLOOKUP(L50,[1]ORÇ_ANALITICO!#REF!,2,0)</f>
        <v>#REF!</v>
      </c>
      <c r="N50" s="157" t="e">
        <f>VLOOKUP(M50,[1]ORÇ_ANALITICO!#REF!,2,0)</f>
        <v>#REF!</v>
      </c>
      <c r="O50" s="20" t="str">
        <f>VLOOKUP($C50,[1]ORÇ_ANALITICO!$B$10:$L$137,5,0)</f>
        <v>M2</v>
      </c>
      <c r="P50" s="20">
        <f>I54</f>
        <v>24</v>
      </c>
      <c r="Q50" s="16"/>
    </row>
    <row r="51" spans="1:17" s="7" customFormat="1" ht="66" customHeight="1" x14ac:dyDescent="0.25">
      <c r="A51" s="8"/>
      <c r="B51" s="8"/>
      <c r="C51" s="32"/>
      <c r="D51" s="32"/>
      <c r="E51" s="32"/>
      <c r="F51" s="32"/>
      <c r="G51" s="32"/>
      <c r="H51" s="32"/>
      <c r="I51" s="32"/>
      <c r="J51" s="32"/>
      <c r="L51" s="10"/>
      <c r="P51" s="11"/>
      <c r="Q51" s="6"/>
    </row>
    <row r="52" spans="1:17" s="7" customFormat="1" ht="66" customHeight="1" x14ac:dyDescent="0.25">
      <c r="A52" s="8"/>
      <c r="B52" s="8"/>
      <c r="C52" s="32"/>
      <c r="D52" s="32"/>
      <c r="E52" s="24" t="s">
        <v>22</v>
      </c>
      <c r="F52" s="32"/>
      <c r="G52" s="24" t="s">
        <v>27</v>
      </c>
      <c r="H52" s="32"/>
      <c r="I52" s="32"/>
      <c r="J52" s="32"/>
      <c r="L52" s="10"/>
      <c r="P52" s="11"/>
      <c r="Q52" s="6"/>
    </row>
    <row r="53" spans="1:17" s="7" customFormat="1" ht="66" customHeight="1" x14ac:dyDescent="0.25">
      <c r="A53" s="8"/>
      <c r="B53" s="8"/>
      <c r="C53" s="32"/>
      <c r="D53" s="32"/>
      <c r="E53" s="32"/>
      <c r="F53" s="32"/>
      <c r="G53" s="32"/>
      <c r="H53" s="32"/>
      <c r="I53" s="32"/>
      <c r="J53" s="32"/>
      <c r="L53" s="10"/>
      <c r="P53" s="11"/>
      <c r="Q53" s="6"/>
    </row>
    <row r="54" spans="1:17" s="7" customFormat="1" ht="66" customHeight="1" x14ac:dyDescent="0.25">
      <c r="A54" s="8"/>
      <c r="B54" s="8"/>
      <c r="C54" s="24"/>
      <c r="D54" s="24"/>
      <c r="E54" s="25">
        <v>8</v>
      </c>
      <c r="F54" s="24" t="s">
        <v>24</v>
      </c>
      <c r="G54" s="25">
        <v>3</v>
      </c>
      <c r="H54" s="24" t="s">
        <v>12</v>
      </c>
      <c r="I54" s="26">
        <f>E54*G54</f>
        <v>24</v>
      </c>
      <c r="J54" s="27" t="s">
        <v>25</v>
      </c>
      <c r="L54" s="10"/>
      <c r="P54" s="11"/>
      <c r="Q54" s="6"/>
    </row>
    <row r="55" spans="1:17" s="7" customFormat="1" ht="66" customHeight="1" x14ac:dyDescent="0.25">
      <c r="A55" s="8"/>
      <c r="B55" s="8"/>
      <c r="C55" s="32"/>
      <c r="D55" s="32"/>
      <c r="E55" s="32"/>
      <c r="F55" s="32"/>
      <c r="G55" s="32"/>
      <c r="H55" s="32"/>
      <c r="I55" s="32"/>
      <c r="J55" s="32"/>
      <c r="L55" s="10"/>
      <c r="P55" s="11"/>
      <c r="Q55" s="6"/>
    </row>
    <row r="56" spans="1:17" s="7" customFormat="1" ht="66" customHeight="1" x14ac:dyDescent="0.25">
      <c r="A56" s="34"/>
      <c r="B56" s="18" t="s">
        <v>28</v>
      </c>
      <c r="C56" s="19" t="str">
        <f>VLOOKUP($B56,[1]ORÇ_ANALITICO!$A$10:$K$137,2,0)</f>
        <v>02.006.0050-0</v>
      </c>
      <c r="D56" s="157" t="str">
        <f>VLOOKUP($C56,[1]ORÇ_ANALITICO!$B$10:$L$137,4,0)</f>
        <v>ALUGUEL DE BANHEIRO QUIMICO,PORTATIL,MEDINDO 2,31M ALTURA X1,56M LARGURA E 1,16M PROFUNDIDADE,INCLUSIVE INSTALACAO E RETIRADA DO EQUIPAMENTO,FORNECIMENTO DE QUIMICA DESODORIZANTE,BACTERICIDA E BACTERIOSTATICA,PAPEL HIGIENICO E VEICULO PROPRIO COM UNIDADE MOVEL DE SUCCAO PARA LIMPEZA</v>
      </c>
      <c r="E56" s="157" t="e">
        <f>VLOOKUP(D56,[1]ORÇ_ANALITICO!#REF!,2,0)</f>
        <v>#VALUE!</v>
      </c>
      <c r="F56" s="157" t="e">
        <f>VLOOKUP(E56,[1]ORÇ_ANALITICO!#REF!,2,0)</f>
        <v>#VALUE!</v>
      </c>
      <c r="G56" s="157" t="e">
        <f>VLOOKUP(F56,[1]ORÇ_ANALITICO!#REF!,2,0)</f>
        <v>#VALUE!</v>
      </c>
      <c r="H56" s="157" t="e">
        <f>VLOOKUP(G56,[1]ORÇ_ANALITICO!#REF!,2,0)</f>
        <v>#VALUE!</v>
      </c>
      <c r="I56" s="157" t="e">
        <f>VLOOKUP(H56,[1]ORÇ_ANALITICO!#REF!,2,0)</f>
        <v>#VALUE!</v>
      </c>
      <c r="J56" s="157" t="e">
        <f>VLOOKUP(I56,[1]ORÇ_ANALITICO!#REF!,2,0)</f>
        <v>#VALUE!</v>
      </c>
      <c r="K56" s="157" t="e">
        <f>VLOOKUP(J56,[1]ORÇ_ANALITICO!#REF!,2,0)</f>
        <v>#VALUE!</v>
      </c>
      <c r="L56" s="157" t="e">
        <f>VLOOKUP(K56,[1]ORÇ_ANALITICO!#REF!,2,0)</f>
        <v>#VALUE!</v>
      </c>
      <c r="M56" s="157" t="e">
        <f>VLOOKUP(L56,[1]ORÇ_ANALITICO!#REF!,2,0)</f>
        <v>#VALUE!</v>
      </c>
      <c r="N56" s="157" t="e">
        <f>VLOOKUP(M56,[1]ORÇ_ANALITICO!#REF!,2,0)</f>
        <v>#VALUE!</v>
      </c>
      <c r="O56" s="20" t="str">
        <f>VLOOKUP($C56,[1]ORÇ_ANALITICO!$B$10:$L$137,5,0)</f>
        <v>UNXMES</v>
      </c>
      <c r="P56" s="20">
        <f>I59</f>
        <v>8</v>
      </c>
      <c r="Q56" s="6"/>
    </row>
    <row r="57" spans="1:17" s="7" customFormat="1" ht="66" customHeight="1" x14ac:dyDescent="0.25">
      <c r="A57" s="8"/>
      <c r="B57" s="8"/>
      <c r="C57" s="32"/>
      <c r="D57" s="32"/>
      <c r="E57" s="32"/>
      <c r="F57" s="32"/>
      <c r="G57" s="32"/>
      <c r="H57" s="32"/>
      <c r="I57" s="32"/>
      <c r="J57" s="32"/>
      <c r="L57" s="10"/>
      <c r="P57" s="11"/>
      <c r="Q57" s="6"/>
    </row>
    <row r="58" spans="1:17" s="7" customFormat="1" ht="66" customHeight="1" x14ac:dyDescent="0.25">
      <c r="A58" s="8"/>
      <c r="B58" s="8"/>
      <c r="C58" s="32"/>
      <c r="D58" s="32"/>
      <c r="E58" s="24" t="s">
        <v>29</v>
      </c>
      <c r="F58" s="32"/>
      <c r="G58" s="24" t="s">
        <v>30</v>
      </c>
      <c r="H58" s="32"/>
      <c r="I58" s="32"/>
      <c r="J58" s="32"/>
      <c r="L58" s="10"/>
      <c r="P58" s="11"/>
      <c r="Q58" s="6"/>
    </row>
    <row r="59" spans="1:17" s="7" customFormat="1" ht="66" customHeight="1" x14ac:dyDescent="0.25">
      <c r="A59" s="8"/>
      <c r="B59" s="8"/>
      <c r="C59" s="24" t="s">
        <v>31</v>
      </c>
      <c r="D59" s="24" t="s">
        <v>12</v>
      </c>
      <c r="E59" s="25">
        <v>1</v>
      </c>
      <c r="F59" s="24" t="s">
        <v>24</v>
      </c>
      <c r="G59" s="25">
        <v>8</v>
      </c>
      <c r="H59" s="24" t="s">
        <v>12</v>
      </c>
      <c r="I59" s="26">
        <f>E59*G59</f>
        <v>8</v>
      </c>
      <c r="J59" s="26" t="s">
        <v>32</v>
      </c>
      <c r="L59" s="10"/>
      <c r="P59" s="11"/>
      <c r="Q59" s="6"/>
    </row>
    <row r="60" spans="1:17" s="7" customFormat="1" ht="66" customHeight="1" x14ac:dyDescent="0.25">
      <c r="A60" s="8"/>
      <c r="B60" s="8"/>
      <c r="C60" s="32"/>
      <c r="D60" s="32"/>
      <c r="E60" s="32"/>
      <c r="F60" s="32"/>
      <c r="G60" s="32"/>
      <c r="H60" s="32"/>
      <c r="I60" s="32"/>
      <c r="J60" s="32"/>
      <c r="L60" s="10"/>
      <c r="P60" s="11"/>
      <c r="Q60" s="6"/>
    </row>
    <row r="61" spans="1:17" s="7" customFormat="1" ht="66" customHeight="1" x14ac:dyDescent="0.25">
      <c r="A61" s="34"/>
      <c r="B61" s="18" t="s">
        <v>33</v>
      </c>
      <c r="C61" s="19" t="str">
        <f>VLOOKUP($B61,[1]ORÇ_ANALITICO!$A$10:$K$137,2,0)</f>
        <v>02.001.0001-0</v>
      </c>
      <c r="D61" s="157" t="str">
        <f>VLOOKUP($C61,[1]ORÇ_ANALITICO!$B$10:$L$137,4,0)</f>
        <v>TAPUME DE VEDACAO OU PROTECAO,EXECUTADO C/CHAPAS DE MADEIRACOMPENSADA,RESINADA,LISA,DE COLAGEM FENOLICA,A PROVA D`AGUA,COM 2,20X1,10M E 6MM DE ESPESSURA,PREGADAS EM PECAS DE MADEIRA DE 3ª DE 3"X3" HORIZONTAIS E VERTICAIS A CADA 1,22M,EXCLUSIVE PINTURA</v>
      </c>
      <c r="E61" s="157" t="e">
        <f>VLOOKUP(D61,[1]ORÇ_ANALITICO!#REF!,2,0)</f>
        <v>#REF!</v>
      </c>
      <c r="F61" s="157" t="e">
        <f>VLOOKUP(E61,[1]ORÇ_ANALITICO!#REF!,2,0)</f>
        <v>#REF!</v>
      </c>
      <c r="G61" s="157" t="e">
        <f>VLOOKUP(F61,[1]ORÇ_ANALITICO!#REF!,2,0)</f>
        <v>#REF!</v>
      </c>
      <c r="H61" s="157" t="e">
        <f>VLOOKUP(G61,[1]ORÇ_ANALITICO!#REF!,2,0)</f>
        <v>#REF!</v>
      </c>
      <c r="I61" s="157" t="e">
        <f>VLOOKUP(H61,[1]ORÇ_ANALITICO!#REF!,2,0)</f>
        <v>#REF!</v>
      </c>
      <c r="J61" s="157" t="e">
        <f>VLOOKUP(I61,[1]ORÇ_ANALITICO!#REF!,2,0)</f>
        <v>#REF!</v>
      </c>
      <c r="K61" s="157" t="e">
        <f>VLOOKUP(J61,[1]ORÇ_ANALITICO!#REF!,2,0)</f>
        <v>#REF!</v>
      </c>
      <c r="L61" s="157" t="e">
        <f>VLOOKUP(K61,[1]ORÇ_ANALITICO!#REF!,2,0)</f>
        <v>#REF!</v>
      </c>
      <c r="M61" s="157" t="e">
        <f>VLOOKUP(L61,[1]ORÇ_ANALITICO!#REF!,2,0)</f>
        <v>#REF!</v>
      </c>
      <c r="N61" s="157" t="e">
        <f>VLOOKUP(M61,[1]ORÇ_ANALITICO!#REF!,2,0)</f>
        <v>#REF!</v>
      </c>
      <c r="O61" s="20" t="str">
        <f>VLOOKUP($C61,[1]ORÇ_ANALITICO!$B$10:$L$137,5,0)</f>
        <v>M2</v>
      </c>
      <c r="P61" s="20">
        <f>I64</f>
        <v>67.650000000000006</v>
      </c>
      <c r="Q61" s="6"/>
    </row>
    <row r="62" spans="1:17" s="7" customFormat="1" ht="66" customHeight="1" x14ac:dyDescent="0.25">
      <c r="A62" s="8"/>
      <c r="B62" s="8"/>
      <c r="C62" s="32"/>
      <c r="D62" s="32"/>
      <c r="E62" s="32"/>
      <c r="F62" s="32"/>
      <c r="G62" s="32"/>
      <c r="H62" s="32"/>
      <c r="I62" s="32"/>
      <c r="J62" s="32"/>
      <c r="L62" s="10"/>
      <c r="P62" s="11"/>
      <c r="Q62" s="6"/>
    </row>
    <row r="63" spans="1:17" s="7" customFormat="1" ht="66" customHeight="1" x14ac:dyDescent="0.25">
      <c r="A63" s="8"/>
      <c r="B63" s="8"/>
      <c r="C63" s="32"/>
      <c r="D63" s="32"/>
      <c r="E63" s="24" t="s">
        <v>22</v>
      </c>
      <c r="F63" s="32"/>
      <c r="G63" s="24" t="s">
        <v>23</v>
      </c>
      <c r="H63" s="32"/>
      <c r="I63" s="32"/>
      <c r="J63" s="32"/>
      <c r="L63" s="10"/>
      <c r="P63" s="11"/>
      <c r="Q63" s="6"/>
    </row>
    <row r="64" spans="1:17" s="7" customFormat="1" ht="66" customHeight="1" x14ac:dyDescent="0.25">
      <c r="A64" s="8"/>
      <c r="B64" s="8"/>
      <c r="C64" s="24" t="s">
        <v>34</v>
      </c>
      <c r="D64" s="24" t="s">
        <v>12</v>
      </c>
      <c r="E64" s="25">
        <f>24.75+1+1+2+2</f>
        <v>30.75</v>
      </c>
      <c r="F64" s="24" t="s">
        <v>24</v>
      </c>
      <c r="G64" s="25">
        <v>2.2000000000000002</v>
      </c>
      <c r="H64" s="24" t="s">
        <v>12</v>
      </c>
      <c r="I64" s="26">
        <f>E64*G64</f>
        <v>67.650000000000006</v>
      </c>
      <c r="J64" s="27" t="s">
        <v>25</v>
      </c>
      <c r="L64" s="10"/>
      <c r="P64" s="11"/>
      <c r="Q64" s="6"/>
    </row>
    <row r="65" spans="1:17" s="7" customFormat="1" ht="66" customHeight="1" x14ac:dyDescent="0.25">
      <c r="A65" s="8"/>
      <c r="B65" s="8"/>
      <c r="C65" s="32"/>
      <c r="D65" s="32"/>
      <c r="E65" s="32"/>
      <c r="F65" s="32"/>
      <c r="G65" s="32"/>
      <c r="H65" s="32"/>
      <c r="I65" s="32"/>
      <c r="J65" s="32"/>
      <c r="L65" s="10"/>
      <c r="P65" s="11"/>
      <c r="Q65" s="6"/>
    </row>
    <row r="66" spans="1:17" s="7" customFormat="1" ht="66" customHeight="1" x14ac:dyDescent="0.25">
      <c r="A66" s="8"/>
      <c r="B66" s="162" t="str">
        <f>[1]ORÇ_ANALITICO!B21</f>
        <v>TRANSPORTES</v>
      </c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4"/>
      <c r="Q66" s="6"/>
    </row>
    <row r="67" spans="1:17" s="7" customFormat="1" ht="66" customHeight="1" x14ac:dyDescent="0.25">
      <c r="A67" s="8"/>
      <c r="B67" s="18" t="s">
        <v>35</v>
      </c>
      <c r="C67" s="19" t="str">
        <f>VLOOKUP($B67,[1]ORÇ_ANALITICO!$A$10:$K$137,2,0)</f>
        <v>04.020.0122-0</v>
      </c>
      <c r="D67" s="157" t="str">
        <f>VLOOKUP($C67,[1]ORÇ_ANALITICO!$B$10:$L$137,4,0)</f>
        <v>TRANSPORTE DE ANDAIME TUBULAR,CONSIDERANDO-SE A AREA DE PROJECAO VERTICAL DO ANDAIME,EXCLUSIVE CARGA,DESCARGA E TEMPO DEESPERA DO CAMINHAO(VIDE ITEM 04.021.0010)</v>
      </c>
      <c r="E67" s="157" t="e">
        <f>VLOOKUP(D67,[1]ORÇ_ANALITICO!#REF!,2,0)</f>
        <v>#REF!</v>
      </c>
      <c r="F67" s="157" t="e">
        <f>VLOOKUP(E67,[1]ORÇ_ANALITICO!#REF!,2,0)</f>
        <v>#REF!</v>
      </c>
      <c r="G67" s="157" t="e">
        <f>VLOOKUP(F67,[1]ORÇ_ANALITICO!#REF!,2,0)</f>
        <v>#REF!</v>
      </c>
      <c r="H67" s="157" t="e">
        <f>VLOOKUP(G67,[1]ORÇ_ANALITICO!#REF!,2,0)</f>
        <v>#REF!</v>
      </c>
      <c r="I67" s="157" t="e">
        <f>VLOOKUP(H67,[1]ORÇ_ANALITICO!#REF!,2,0)</f>
        <v>#REF!</v>
      </c>
      <c r="J67" s="157" t="e">
        <f>VLOOKUP(I67,[1]ORÇ_ANALITICO!#REF!,2,0)</f>
        <v>#REF!</v>
      </c>
      <c r="K67" s="157" t="e">
        <f>VLOOKUP(J67,[1]ORÇ_ANALITICO!#REF!,2,0)</f>
        <v>#REF!</v>
      </c>
      <c r="L67" s="157" t="e">
        <f>VLOOKUP(K67,[1]ORÇ_ANALITICO!#REF!,2,0)</f>
        <v>#REF!</v>
      </c>
      <c r="M67" s="157" t="e">
        <f>VLOOKUP(L67,[1]ORÇ_ANALITICO!#REF!,2,0)</f>
        <v>#REF!</v>
      </c>
      <c r="N67" s="157" t="e">
        <f>VLOOKUP(M67,[1]ORÇ_ANALITICO!#REF!,2,0)</f>
        <v>#REF!</v>
      </c>
      <c r="O67" s="20" t="str">
        <f>VLOOKUP($C67,[1]ORÇ_ANALITICO!$B$10:$L$137,5,0)</f>
        <v>M2XKM</v>
      </c>
      <c r="P67" s="20">
        <f>I70</f>
        <v>9117</v>
      </c>
      <c r="Q67" s="6"/>
    </row>
    <row r="68" spans="1:17" s="7" customFormat="1" ht="66" customHeight="1" x14ac:dyDescent="0.25">
      <c r="A68" s="8"/>
      <c r="B68" s="8"/>
      <c r="C68" s="32"/>
      <c r="D68" s="32"/>
      <c r="E68" s="32"/>
      <c r="F68" s="32"/>
      <c r="G68" s="32"/>
      <c r="H68" s="32"/>
      <c r="I68" s="32"/>
      <c r="J68" s="32"/>
      <c r="L68" s="10"/>
      <c r="P68" s="11"/>
      <c r="Q68" s="6"/>
    </row>
    <row r="69" spans="1:17" s="7" customFormat="1" ht="66" customHeight="1" x14ac:dyDescent="0.25">
      <c r="A69" s="8"/>
      <c r="B69" s="8"/>
      <c r="C69" s="32"/>
      <c r="D69" s="32"/>
      <c r="E69" s="32"/>
      <c r="F69" s="32"/>
      <c r="G69" s="32"/>
      <c r="H69" s="32"/>
      <c r="I69" s="32"/>
      <c r="J69" s="32"/>
      <c r="L69" s="10"/>
      <c r="P69" s="11"/>
      <c r="Q69" s="6"/>
    </row>
    <row r="70" spans="1:17" s="7" customFormat="1" ht="66" customHeight="1" x14ac:dyDescent="0.25">
      <c r="A70" s="8"/>
      <c r="B70" s="8"/>
      <c r="C70" s="24" t="s">
        <v>36</v>
      </c>
      <c r="D70" s="32"/>
      <c r="E70" s="25">
        <f>G91</f>
        <v>607.79999999999995</v>
      </c>
      <c r="F70" s="35" t="s">
        <v>24</v>
      </c>
      <c r="G70" s="36">
        <v>15</v>
      </c>
      <c r="H70" s="35" t="s">
        <v>12</v>
      </c>
      <c r="I70" s="37">
        <f>TRUNC(E70*G70,2)</f>
        <v>9117</v>
      </c>
      <c r="J70" s="27" t="s">
        <v>37</v>
      </c>
      <c r="L70" s="10"/>
      <c r="P70" s="11"/>
      <c r="Q70" s="6"/>
    </row>
    <row r="71" spans="1:17" s="7" customFormat="1" ht="66" customHeight="1" x14ac:dyDescent="0.25">
      <c r="A71" s="8"/>
      <c r="B71" s="8"/>
      <c r="C71" s="32"/>
      <c r="D71" s="32"/>
      <c r="E71" s="32"/>
      <c r="F71" s="32"/>
      <c r="G71" s="32"/>
      <c r="H71" s="32"/>
      <c r="I71" s="32"/>
      <c r="J71" s="32"/>
      <c r="L71" s="10"/>
      <c r="P71" s="11"/>
      <c r="Q71" s="6"/>
    </row>
    <row r="72" spans="1:17" s="7" customFormat="1" ht="66" customHeight="1" x14ac:dyDescent="0.25">
      <c r="A72" s="8"/>
      <c r="B72" s="18" t="s">
        <v>38</v>
      </c>
      <c r="C72" s="19" t="str">
        <f>VLOOKUP($B72,[1]ORÇ_ANALITICO!$A$10:$K$137,2,0)</f>
        <v>04.021.0010-0</v>
      </c>
      <c r="D72" s="157" t="str">
        <f>VLOOKUP($C72,[1]ORÇ_ANALITICO!$B$10:$L$137,4,0)</f>
        <v>CARGA E DESCARGA MANUAL DE ANDAIME TUBULAR,INCLUSIVE TEMPO DE ESPERA DO CAMINHAO,CONSIDERANDO-SE A AREA DE PROJECAO VERTICAL</v>
      </c>
      <c r="E72" s="157" t="e">
        <f>VLOOKUP(D72,[1]ORÇ_ANALITICO!#REF!,2,0)</f>
        <v>#REF!</v>
      </c>
      <c r="F72" s="157" t="e">
        <f>VLOOKUP(E72,[1]ORÇ_ANALITICO!#REF!,2,0)</f>
        <v>#REF!</v>
      </c>
      <c r="G72" s="157" t="e">
        <f>VLOOKUP(F72,[1]ORÇ_ANALITICO!#REF!,2,0)</f>
        <v>#REF!</v>
      </c>
      <c r="H72" s="157" t="e">
        <f>VLOOKUP(G72,[1]ORÇ_ANALITICO!#REF!,2,0)</f>
        <v>#REF!</v>
      </c>
      <c r="I72" s="157" t="e">
        <f>VLOOKUP(H72,[1]ORÇ_ANALITICO!#REF!,2,0)</f>
        <v>#REF!</v>
      </c>
      <c r="J72" s="157" t="e">
        <f>VLOOKUP(I72,[1]ORÇ_ANALITICO!#REF!,2,0)</f>
        <v>#REF!</v>
      </c>
      <c r="K72" s="157" t="e">
        <f>VLOOKUP(J72,[1]ORÇ_ANALITICO!#REF!,2,0)</f>
        <v>#REF!</v>
      </c>
      <c r="L72" s="157" t="e">
        <f>VLOOKUP(K72,[1]ORÇ_ANALITICO!#REF!,2,0)</f>
        <v>#REF!</v>
      </c>
      <c r="M72" s="157" t="e">
        <f>VLOOKUP(L72,[1]ORÇ_ANALITICO!#REF!,2,0)</f>
        <v>#REF!</v>
      </c>
      <c r="N72" s="157" t="e">
        <f>VLOOKUP(M72,[1]ORÇ_ANALITICO!#REF!,2,0)</f>
        <v>#REF!</v>
      </c>
      <c r="O72" s="20" t="str">
        <f>VLOOKUP($C72,[1]ORÇ_ANALITICO!$B$10:$L$137,5,0)</f>
        <v>M2</v>
      </c>
      <c r="P72" s="20">
        <f>I74</f>
        <v>607.79999999999995</v>
      </c>
      <c r="Q72" s="6"/>
    </row>
    <row r="73" spans="1:17" s="7" customFormat="1" ht="66" customHeight="1" x14ac:dyDescent="0.25">
      <c r="A73" s="8"/>
      <c r="B73" s="8"/>
      <c r="C73" s="32"/>
      <c r="D73" s="32"/>
      <c r="E73" s="32"/>
      <c r="F73" s="32"/>
      <c r="G73" s="32"/>
      <c r="H73" s="32"/>
      <c r="I73" s="32"/>
      <c r="J73" s="32"/>
      <c r="L73" s="10"/>
      <c r="P73" s="11"/>
      <c r="Q73" s="6"/>
    </row>
    <row r="74" spans="1:17" s="7" customFormat="1" ht="66" customHeight="1" x14ac:dyDescent="0.25">
      <c r="A74" s="8"/>
      <c r="B74" s="8"/>
      <c r="C74" s="24" t="s">
        <v>39</v>
      </c>
      <c r="D74" s="32"/>
      <c r="E74" s="32"/>
      <c r="F74" s="32"/>
      <c r="G74" s="32"/>
      <c r="H74" s="24" t="s">
        <v>12</v>
      </c>
      <c r="I74" s="25">
        <f>E70</f>
        <v>607.79999999999995</v>
      </c>
      <c r="J74" s="32"/>
      <c r="L74" s="10"/>
      <c r="P74" s="11"/>
      <c r="Q74" s="6"/>
    </row>
    <row r="75" spans="1:17" s="7" customFormat="1" ht="66" customHeight="1" x14ac:dyDescent="0.25">
      <c r="A75" s="8"/>
      <c r="B75" s="8"/>
      <c r="C75" s="32"/>
      <c r="D75" s="32"/>
      <c r="E75" s="32"/>
      <c r="F75" s="32"/>
      <c r="G75" s="32"/>
      <c r="H75" s="32"/>
      <c r="I75" s="32"/>
      <c r="J75" s="32"/>
      <c r="L75" s="10"/>
      <c r="P75" s="11"/>
      <c r="Q75" s="6"/>
    </row>
    <row r="76" spans="1:17" s="7" customFormat="1" ht="66" customHeight="1" x14ac:dyDescent="0.25">
      <c r="A76" s="8"/>
      <c r="B76" s="18" t="s">
        <v>40</v>
      </c>
      <c r="C76" s="19" t="str">
        <f>VLOOKUP($B76,[1]ORÇ_ANALITICO!$A$10:$K$137,2,0)</f>
        <v>04.014.0095-0</v>
      </c>
      <c r="D76" s="157" t="str">
        <f>VLOOKUP($C76,[1]ORÇ_ANALITICO!$B$10:$L$137,4,0)</f>
        <v>RETIRADA DE ENTULHO DE OBRA COM CACAMBA DE ACO TIPO CONTAINER COM 5M3 DE CAPACIDADE,INCLUSIVE CARREGAMENTO,TRANSPORTE EDESCARREGAMENTO.CUSTO POR UNIDADE DE CACAMBA E INCLUI A TAXA PARA DESCARGA EM LOCAIS AUTORIZADOS</v>
      </c>
      <c r="E76" s="157" t="e">
        <f>VLOOKUP(D76,[1]ORÇ_ANALITICO!#REF!,2,0)</f>
        <v>#REF!</v>
      </c>
      <c r="F76" s="157" t="e">
        <f>VLOOKUP(E76,[1]ORÇ_ANALITICO!#REF!,2,0)</f>
        <v>#REF!</v>
      </c>
      <c r="G76" s="157" t="e">
        <f>VLOOKUP(F76,[1]ORÇ_ANALITICO!#REF!,2,0)</f>
        <v>#REF!</v>
      </c>
      <c r="H76" s="157" t="e">
        <f>VLOOKUP(G76,[1]ORÇ_ANALITICO!#REF!,2,0)</f>
        <v>#REF!</v>
      </c>
      <c r="I76" s="157" t="e">
        <f>VLOOKUP(H76,[1]ORÇ_ANALITICO!#REF!,2,0)</f>
        <v>#REF!</v>
      </c>
      <c r="J76" s="157" t="e">
        <f>VLOOKUP(I76,[1]ORÇ_ANALITICO!#REF!,2,0)</f>
        <v>#REF!</v>
      </c>
      <c r="K76" s="157" t="e">
        <f>VLOOKUP(J76,[1]ORÇ_ANALITICO!#REF!,2,0)</f>
        <v>#REF!</v>
      </c>
      <c r="L76" s="157" t="e">
        <f>VLOOKUP(K76,[1]ORÇ_ANALITICO!#REF!,2,0)</f>
        <v>#REF!</v>
      </c>
      <c r="M76" s="157" t="e">
        <f>VLOOKUP(L76,[1]ORÇ_ANALITICO!#REF!,2,0)</f>
        <v>#REF!</v>
      </c>
      <c r="N76" s="157" t="e">
        <f>VLOOKUP(M76,[1]ORÇ_ANALITICO!#REF!,2,0)</f>
        <v>#REF!</v>
      </c>
      <c r="O76" s="20" t="str">
        <f>VLOOKUP($C76,[1]ORÇ_ANALITICO!$B$10:$L$137,5,0)</f>
        <v>UN</v>
      </c>
      <c r="P76" s="20">
        <f>L79</f>
        <v>5</v>
      </c>
      <c r="Q76" s="6"/>
    </row>
    <row r="77" spans="1:17" s="7" customFormat="1" ht="66" customHeight="1" x14ac:dyDescent="0.25">
      <c r="A77" s="8"/>
      <c r="B77" s="8"/>
      <c r="C77" s="32"/>
      <c r="D77" s="32"/>
      <c r="E77" s="32"/>
      <c r="F77" s="32"/>
      <c r="G77" s="32"/>
      <c r="H77" s="32"/>
      <c r="I77" s="32"/>
      <c r="J77" s="32"/>
      <c r="L77" s="10"/>
      <c r="P77" s="11"/>
      <c r="Q77" s="6"/>
    </row>
    <row r="78" spans="1:17" s="7" customFormat="1" ht="66" customHeight="1" x14ac:dyDescent="0.25">
      <c r="A78" s="8"/>
      <c r="B78" s="8"/>
      <c r="C78" s="32"/>
      <c r="D78" s="32"/>
      <c r="G78" s="168" t="s">
        <v>41</v>
      </c>
      <c r="H78" s="168"/>
      <c r="I78"/>
      <c r="J78" s="38" t="s">
        <v>42</v>
      </c>
      <c r="K78"/>
      <c r="L78"/>
      <c r="P78" s="11"/>
      <c r="Q78" s="6"/>
    </row>
    <row r="79" spans="1:17" s="7" customFormat="1" ht="66" customHeight="1" x14ac:dyDescent="0.25">
      <c r="A79" s="8"/>
      <c r="B79" s="8"/>
      <c r="C79" s="32"/>
      <c r="D79" s="32"/>
      <c r="E79" s="39"/>
      <c r="F79" s="40"/>
      <c r="H79" s="41">
        <f>L313</f>
        <v>24.45</v>
      </c>
      <c r="J79" s="41">
        <v>5</v>
      </c>
      <c r="K79" s="35" t="s">
        <v>12</v>
      </c>
      <c r="L79" s="42">
        <f>ROUNDUP(H79/J79,0)</f>
        <v>5</v>
      </c>
      <c r="P79" s="11"/>
      <c r="Q79" s="6"/>
    </row>
    <row r="80" spans="1:17" s="7" customFormat="1" ht="66" customHeight="1" x14ac:dyDescent="0.25">
      <c r="A80" s="8"/>
      <c r="B80" s="8"/>
      <c r="C80" s="32"/>
      <c r="D80" s="32"/>
      <c r="E80" s="32"/>
      <c r="F80" s="32"/>
      <c r="G80" s="32"/>
      <c r="H80" s="32"/>
      <c r="I80" s="32"/>
      <c r="J80" s="32"/>
      <c r="L80" s="10"/>
      <c r="P80" s="11"/>
      <c r="Q80" s="6"/>
    </row>
    <row r="81" spans="1:17" s="7" customFormat="1" ht="66" customHeight="1" x14ac:dyDescent="0.25">
      <c r="A81" s="8"/>
      <c r="B81" s="8"/>
      <c r="C81" s="32"/>
      <c r="D81" s="32"/>
      <c r="E81" s="32"/>
      <c r="F81" s="32"/>
      <c r="G81" s="32"/>
      <c r="H81" s="32"/>
      <c r="I81" s="32"/>
      <c r="J81" s="32"/>
      <c r="L81" s="10"/>
      <c r="P81" s="11"/>
      <c r="Q81" s="6"/>
    </row>
    <row r="82" spans="1:17" s="7" customFormat="1" ht="66" customHeight="1" x14ac:dyDescent="0.25">
      <c r="A82" s="8"/>
      <c r="B82" s="162" t="str">
        <f>[1]ORÇ_ANALITICO!B25</f>
        <v>SERVIÇOS PRELIMINARES</v>
      </c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4"/>
      <c r="Q82" s="6"/>
    </row>
    <row r="83" spans="1:17" s="7" customFormat="1" ht="66" customHeight="1" x14ac:dyDescent="0.25">
      <c r="A83" s="8"/>
      <c r="B83" s="18" t="s">
        <v>43</v>
      </c>
      <c r="C83" s="19" t="str">
        <f>VLOOKUP($B83,[1]ORÇ_ANALITICO!$A$10:$K$137,2,0)</f>
        <v>05.006.0001-1</v>
      </c>
      <c r="D83" s="157" t="str">
        <f>VLOOKUP($C83,[1]ORÇ_ANALITICO!$B$10:$L$137,4,0)</f>
        <v>LOCACAO DE ANDAIME COM ELEMENTOS TUBULARES SOBRE SAPATAS FIXAS,CONSIDERANDO-SE A AREA DA PROJECAO VERTICAL DO ANDAIME EPAGO PELO TEMPO NECESSARIO A SUA UTILIZACAO,EXCLUSIVE TRANSPORTE DOS ELEMENTOS DO ANDAIME ATE A OBRA,PLATAFORMA OU PASSARELA DE PINHO,MONTAGEM E DESMONTAGEM DOS ANDAIMES</v>
      </c>
      <c r="E83" s="157" t="e">
        <f>VLOOKUP(D83,[1]ORÇ_ANALITICO!#REF!,2,0)</f>
        <v>#VALUE!</v>
      </c>
      <c r="F83" s="157" t="e">
        <f>VLOOKUP(E83,[1]ORÇ_ANALITICO!#REF!,2,0)</f>
        <v>#VALUE!</v>
      </c>
      <c r="G83" s="157" t="e">
        <f>VLOOKUP(F83,[1]ORÇ_ANALITICO!#REF!,2,0)</f>
        <v>#VALUE!</v>
      </c>
      <c r="H83" s="157" t="e">
        <f>VLOOKUP(G83,[1]ORÇ_ANALITICO!#REF!,2,0)</f>
        <v>#VALUE!</v>
      </c>
      <c r="I83" s="157" t="e">
        <f>VLOOKUP(H83,[1]ORÇ_ANALITICO!#REF!,2,0)</f>
        <v>#VALUE!</v>
      </c>
      <c r="J83" s="157" t="e">
        <f>VLOOKUP(I83,[1]ORÇ_ANALITICO!#REF!,2,0)</f>
        <v>#VALUE!</v>
      </c>
      <c r="K83" s="157" t="e">
        <f>VLOOKUP(J83,[1]ORÇ_ANALITICO!#REF!,2,0)</f>
        <v>#VALUE!</v>
      </c>
      <c r="L83" s="157" t="e">
        <f>VLOOKUP(K83,[1]ORÇ_ANALITICO!#REF!,2,0)</f>
        <v>#VALUE!</v>
      </c>
      <c r="M83" s="157" t="e">
        <f>VLOOKUP(L83,[1]ORÇ_ANALITICO!#REF!,2,0)</f>
        <v>#VALUE!</v>
      </c>
      <c r="N83" s="157" t="e">
        <f>VLOOKUP(M83,[1]ORÇ_ANALITICO!#REF!,2,0)</f>
        <v>#VALUE!</v>
      </c>
      <c r="O83" s="20" t="str">
        <f>VLOOKUP($C83,[1]ORÇ_ANALITICO!$B$10:$L$137,5,0)</f>
        <v>M2XMES</v>
      </c>
      <c r="P83" s="20">
        <f>K92</f>
        <v>2431.1999999999998</v>
      </c>
      <c r="Q83" s="16"/>
    </row>
    <row r="84" spans="1:17" s="7" customFormat="1" ht="66" customHeight="1" x14ac:dyDescent="0.25">
      <c r="A84" s="8"/>
      <c r="B84" s="43"/>
      <c r="C84" s="22"/>
      <c r="D84" s="44"/>
      <c r="E84" s="45"/>
      <c r="F84" s="45"/>
      <c r="G84" s="45"/>
      <c r="H84" s="45"/>
      <c r="I84" s="45"/>
      <c r="J84" s="45"/>
      <c r="K84" s="45"/>
      <c r="L84" s="22"/>
      <c r="M84" s="45"/>
      <c r="N84" s="45"/>
      <c r="O84" s="45"/>
      <c r="P84" s="46"/>
      <c r="Q84" s="6"/>
    </row>
    <row r="85" spans="1:17" s="7" customFormat="1" ht="66" customHeight="1" x14ac:dyDescent="0.25">
      <c r="A85" s="8"/>
      <c r="B85" s="43"/>
      <c r="C85" s="22"/>
      <c r="D85" s="47"/>
      <c r="E85" s="22" t="s">
        <v>22</v>
      </c>
      <c r="F85" s="22"/>
      <c r="G85" s="22" t="s">
        <v>23</v>
      </c>
      <c r="H85" s="22"/>
      <c r="I85" s="22" t="s">
        <v>44</v>
      </c>
      <c r="J85" s="22"/>
      <c r="K85" s="22"/>
      <c r="L85" s="22"/>
      <c r="M85" s="45"/>
      <c r="N85" s="45"/>
      <c r="O85" s="45"/>
      <c r="P85" s="46"/>
      <c r="Q85" s="6"/>
    </row>
    <row r="86" spans="1:17" s="7" customFormat="1" ht="66" customHeight="1" x14ac:dyDescent="0.25">
      <c r="A86" s="8"/>
      <c r="B86" s="43"/>
      <c r="C86" s="10"/>
      <c r="M86" s="45"/>
      <c r="N86" s="45"/>
      <c r="O86" s="45"/>
      <c r="P86" s="46"/>
      <c r="Q86" s="6"/>
    </row>
    <row r="87" spans="1:17" s="7" customFormat="1" ht="66" customHeight="1" x14ac:dyDescent="0.25">
      <c r="A87" s="8"/>
      <c r="B87" s="43"/>
      <c r="C87" s="22" t="s">
        <v>45</v>
      </c>
      <c r="D87" s="24" t="s">
        <v>12</v>
      </c>
      <c r="E87" s="48">
        <v>24.75</v>
      </c>
      <c r="F87" s="24" t="s">
        <v>24</v>
      </c>
      <c r="G87" s="48">
        <v>12</v>
      </c>
      <c r="H87" s="24" t="s">
        <v>24</v>
      </c>
      <c r="I87" s="48">
        <v>4</v>
      </c>
      <c r="J87" s="24" t="s">
        <v>12</v>
      </c>
      <c r="K87" s="48">
        <f>E87*G87*I87</f>
        <v>1188</v>
      </c>
      <c r="L87" s="48" t="s">
        <v>46</v>
      </c>
      <c r="M87" s="45"/>
      <c r="N87" s="45"/>
      <c r="O87" s="45"/>
      <c r="P87" s="46"/>
      <c r="Q87" s="6"/>
    </row>
    <row r="88" spans="1:17" s="7" customFormat="1" ht="66" customHeight="1" x14ac:dyDescent="0.25">
      <c r="A88" s="8"/>
      <c r="B88" s="43"/>
      <c r="C88" s="22" t="s">
        <v>47</v>
      </c>
      <c r="D88" s="24" t="s">
        <v>12</v>
      </c>
      <c r="E88" s="48">
        <v>25.9</v>
      </c>
      <c r="F88" s="24" t="s">
        <v>24</v>
      </c>
      <c r="G88" s="48">
        <v>12</v>
      </c>
      <c r="H88" s="24" t="s">
        <v>24</v>
      </c>
      <c r="I88" s="48">
        <v>4</v>
      </c>
      <c r="J88" s="24" t="s">
        <v>12</v>
      </c>
      <c r="K88" s="48">
        <f>E88*G88*I88</f>
        <v>1243.1999999999998</v>
      </c>
      <c r="L88" s="48" t="s">
        <v>46</v>
      </c>
      <c r="M88" s="45"/>
      <c r="N88" s="45"/>
      <c r="O88" s="45"/>
      <c r="P88" s="46"/>
      <c r="Q88" s="6"/>
    </row>
    <row r="89" spans="1:17" s="7" customFormat="1" ht="66" customHeight="1" x14ac:dyDescent="0.25">
      <c r="A89" s="8"/>
      <c r="B89" s="43"/>
      <c r="C89" s="22"/>
      <c r="D89" s="24"/>
      <c r="E89" s="48"/>
      <c r="F89" s="24"/>
      <c r="G89" s="48"/>
      <c r="H89" s="24"/>
      <c r="I89" s="48"/>
      <c r="J89" s="24"/>
      <c r="K89" s="48"/>
      <c r="L89" s="48"/>
      <c r="M89" s="45"/>
      <c r="N89" s="45"/>
      <c r="O89" s="45"/>
      <c r="P89" s="46"/>
      <c r="Q89" s="6"/>
    </row>
    <row r="90" spans="1:17" s="7" customFormat="1" ht="66" customHeight="1" x14ac:dyDescent="0.25">
      <c r="A90" s="8"/>
      <c r="B90" s="43"/>
      <c r="C90" s="22"/>
      <c r="D90" s="24"/>
      <c r="E90" s="48">
        <f>E87+E88</f>
        <v>50.65</v>
      </c>
      <c r="F90" s="24" t="s">
        <v>24</v>
      </c>
      <c r="G90" s="48">
        <v>12</v>
      </c>
      <c r="H90" s="24"/>
      <c r="I90" s="48"/>
      <c r="J90" s="24"/>
      <c r="K90" s="48"/>
      <c r="L90" s="48"/>
      <c r="M90" s="45"/>
      <c r="N90" s="45"/>
      <c r="O90" s="45"/>
      <c r="P90" s="46"/>
      <c r="Q90" s="6"/>
    </row>
    <row r="91" spans="1:17" s="7" customFormat="1" ht="66" customHeight="1" x14ac:dyDescent="0.25">
      <c r="A91" s="8"/>
      <c r="B91" s="43"/>
      <c r="C91" s="10"/>
      <c r="G91" s="49">
        <f>E90*G90</f>
        <v>607.79999999999995</v>
      </c>
      <c r="M91" s="45"/>
      <c r="N91" s="45"/>
      <c r="O91" s="45"/>
      <c r="P91" s="46"/>
      <c r="Q91" s="6"/>
    </row>
    <row r="92" spans="1:17" s="7" customFormat="1" ht="66" customHeight="1" x14ac:dyDescent="0.25">
      <c r="A92" s="8"/>
      <c r="B92" s="43"/>
      <c r="C92" s="10"/>
      <c r="I92" s="27" t="s">
        <v>48</v>
      </c>
      <c r="J92" s="27" t="s">
        <v>12</v>
      </c>
      <c r="K92" s="26">
        <f>SUM(K87:K90)</f>
        <v>2431.1999999999998</v>
      </c>
      <c r="L92" s="26" t="s">
        <v>46</v>
      </c>
      <c r="M92" s="45"/>
      <c r="N92" s="45"/>
      <c r="O92" s="45"/>
      <c r="P92" s="46"/>
      <c r="Q92" s="6"/>
    </row>
    <row r="93" spans="1:17" s="7" customFormat="1" ht="66" customHeight="1" x14ac:dyDescent="0.25">
      <c r="A93" s="8"/>
      <c r="B93" s="43"/>
      <c r="C93" s="22"/>
      <c r="D93" s="44"/>
      <c r="E93" s="45"/>
      <c r="F93" s="45"/>
      <c r="G93" s="45"/>
      <c r="H93" s="45"/>
      <c r="I93" s="45"/>
      <c r="J93" s="45"/>
      <c r="K93" s="45"/>
      <c r="L93" s="22"/>
      <c r="M93" s="45"/>
      <c r="N93" s="45"/>
      <c r="O93" s="45"/>
      <c r="P93" s="46"/>
      <c r="Q93" s="6"/>
    </row>
    <row r="94" spans="1:17" s="7" customFormat="1" ht="66" customHeight="1" x14ac:dyDescent="0.25">
      <c r="A94" s="8"/>
      <c r="B94" s="18" t="s">
        <v>49</v>
      </c>
      <c r="C94" s="19" t="str">
        <f>VLOOKUP($B94,[1]ORÇ_ANALITICO!$A$10:$K$137,2,0)</f>
        <v>05.008.0001-0</v>
      </c>
      <c r="D94" s="157" t="str">
        <f>VLOOKUP($C94,[1]ORÇ_ANALITICO!$B$10:$L$137,4,0)</f>
        <v>MONTAGEM E DESMONTAGEM DE ANDAIME COM ELEMENTOS TUBULARES,CONSIDERANDO-SE A AREA VERTICAL RECOBERTA</v>
      </c>
      <c r="E94" s="157" t="e">
        <f>VLOOKUP(D94,[1]ORÇ_ANALITICO!#REF!,2,0)</f>
        <v>#REF!</v>
      </c>
      <c r="F94" s="157" t="e">
        <f>VLOOKUP(E94,[1]ORÇ_ANALITICO!#REF!,2,0)</f>
        <v>#REF!</v>
      </c>
      <c r="G94" s="157" t="e">
        <f>VLOOKUP(F94,[1]ORÇ_ANALITICO!#REF!,2,0)</f>
        <v>#REF!</v>
      </c>
      <c r="H94" s="157" t="e">
        <f>VLOOKUP(G94,[1]ORÇ_ANALITICO!#REF!,2,0)</f>
        <v>#REF!</v>
      </c>
      <c r="I94" s="157" t="e">
        <f>VLOOKUP(H94,[1]ORÇ_ANALITICO!#REF!,2,0)</f>
        <v>#REF!</v>
      </c>
      <c r="J94" s="157" t="e">
        <f>VLOOKUP(I94,[1]ORÇ_ANALITICO!#REF!,2,0)</f>
        <v>#REF!</v>
      </c>
      <c r="K94" s="157" t="e">
        <f>VLOOKUP(J94,[1]ORÇ_ANALITICO!#REF!,2,0)</f>
        <v>#REF!</v>
      </c>
      <c r="L94" s="157" t="e">
        <f>VLOOKUP(K94,[1]ORÇ_ANALITICO!#REF!,2,0)</f>
        <v>#REF!</v>
      </c>
      <c r="M94" s="157" t="e">
        <f>VLOOKUP(L94,[1]ORÇ_ANALITICO!#REF!,2,0)</f>
        <v>#REF!</v>
      </c>
      <c r="N94" s="157" t="e">
        <f>VLOOKUP(M94,[1]ORÇ_ANALITICO!#REF!,2,0)</f>
        <v>#REF!</v>
      </c>
      <c r="O94" s="20" t="str">
        <f>VLOOKUP($C94,[1]ORÇ_ANALITICO!$B$10:$L$137,5,0)</f>
        <v>M2</v>
      </c>
      <c r="P94" s="20">
        <f>I105</f>
        <v>2767.5</v>
      </c>
      <c r="Q94" s="16"/>
    </row>
    <row r="95" spans="1:17" s="7" customFormat="1" ht="66" customHeight="1" x14ac:dyDescent="0.25">
      <c r="A95" s="8"/>
      <c r="B95" s="9"/>
      <c r="C95" s="10"/>
      <c r="L95" s="10"/>
      <c r="P95" s="11"/>
      <c r="Q95" s="6"/>
    </row>
    <row r="96" spans="1:17" s="7" customFormat="1" ht="66" customHeight="1" x14ac:dyDescent="0.25">
      <c r="A96" s="8"/>
      <c r="B96" s="9"/>
      <c r="C96" s="22"/>
      <c r="D96" s="47"/>
      <c r="E96" s="22" t="s">
        <v>22</v>
      </c>
      <c r="F96" s="22"/>
      <c r="G96" s="22" t="s">
        <v>23</v>
      </c>
      <c r="H96" s="22"/>
      <c r="I96" s="22"/>
      <c r="J96" s="22"/>
      <c r="L96" s="10"/>
      <c r="P96" s="11"/>
      <c r="Q96" s="6"/>
    </row>
    <row r="97" spans="1:17" s="7" customFormat="1" ht="66" customHeight="1" x14ac:dyDescent="0.25">
      <c r="A97" s="8"/>
      <c r="B97" s="9"/>
      <c r="C97" s="10"/>
      <c r="L97" s="10"/>
      <c r="P97" s="11"/>
      <c r="Q97" s="6"/>
    </row>
    <row r="98" spans="1:17" s="7" customFormat="1" ht="66" customHeight="1" x14ac:dyDescent="0.25">
      <c r="A98" s="8"/>
      <c r="B98" s="9"/>
      <c r="C98" s="22" t="s">
        <v>45</v>
      </c>
      <c r="D98" s="24" t="s">
        <v>12</v>
      </c>
      <c r="E98" s="48">
        <v>24.75</v>
      </c>
      <c r="F98" s="24" t="s">
        <v>24</v>
      </c>
      <c r="G98" s="48">
        <f>G87</f>
        <v>12</v>
      </c>
      <c r="H98" s="24" t="s">
        <v>12</v>
      </c>
      <c r="I98" s="48">
        <f t="shared" ref="I98:I104" si="0">E98*G98</f>
        <v>297</v>
      </c>
      <c r="J98" s="48" t="s">
        <v>25</v>
      </c>
      <c r="L98" s="10"/>
      <c r="M98" s="50"/>
      <c r="P98" s="11"/>
      <c r="Q98" s="6"/>
    </row>
    <row r="99" spans="1:17" s="7" customFormat="1" ht="66" customHeight="1" x14ac:dyDescent="0.25">
      <c r="A99" s="8"/>
      <c r="B99" s="9"/>
      <c r="C99" s="22" t="s">
        <v>50</v>
      </c>
      <c r="D99" s="24" t="s">
        <v>12</v>
      </c>
      <c r="E99" s="48">
        <v>25.9</v>
      </c>
      <c r="F99" s="24" t="s">
        <v>24</v>
      </c>
      <c r="G99" s="48">
        <v>12</v>
      </c>
      <c r="H99" s="24" t="s">
        <v>12</v>
      </c>
      <c r="I99" s="48">
        <f t="shared" si="0"/>
        <v>310.79999999999995</v>
      </c>
      <c r="J99" s="48" t="s">
        <v>25</v>
      </c>
      <c r="L99" s="10"/>
      <c r="P99" s="11"/>
      <c r="Q99" s="6"/>
    </row>
    <row r="100" spans="1:17" s="7" customFormat="1" ht="66" customHeight="1" x14ac:dyDescent="0.25">
      <c r="A100" s="8"/>
      <c r="B100" s="9"/>
      <c r="C100" s="22" t="s">
        <v>51</v>
      </c>
      <c r="D100" s="24" t="s">
        <v>12</v>
      </c>
      <c r="E100" s="48">
        <v>25.9</v>
      </c>
      <c r="F100" s="24" t="s">
        <v>24</v>
      </c>
      <c r="G100" s="48">
        <v>12</v>
      </c>
      <c r="H100" s="24" t="s">
        <v>12</v>
      </c>
      <c r="I100" s="48">
        <f t="shared" si="0"/>
        <v>310.79999999999995</v>
      </c>
      <c r="J100" s="48" t="s">
        <v>25</v>
      </c>
      <c r="L100" s="10"/>
      <c r="P100" s="11"/>
      <c r="Q100" s="6"/>
    </row>
    <row r="101" spans="1:17" s="7" customFormat="1" ht="66" customHeight="1" x14ac:dyDescent="0.25">
      <c r="A101" s="8"/>
      <c r="B101" s="9"/>
      <c r="C101" s="22" t="s">
        <v>52</v>
      </c>
      <c r="D101" s="24" t="s">
        <v>12</v>
      </c>
      <c r="E101" s="48">
        <f>7.15+7.2</f>
        <v>14.350000000000001</v>
      </c>
      <c r="F101" s="24" t="s">
        <v>24</v>
      </c>
      <c r="G101" s="48">
        <v>14</v>
      </c>
      <c r="H101" s="24" t="s">
        <v>12</v>
      </c>
      <c r="I101" s="48">
        <f t="shared" si="0"/>
        <v>200.90000000000003</v>
      </c>
      <c r="J101" s="48" t="s">
        <v>25</v>
      </c>
      <c r="L101" s="10"/>
      <c r="P101" s="11"/>
      <c r="Q101" s="6"/>
    </row>
    <row r="102" spans="1:17" s="7" customFormat="1" ht="66" customHeight="1" x14ac:dyDescent="0.25">
      <c r="A102" s="8"/>
      <c r="B102" s="9"/>
      <c r="C102" s="22" t="s">
        <v>53</v>
      </c>
      <c r="D102" s="24" t="s">
        <v>12</v>
      </c>
      <c r="E102" s="48">
        <v>158</v>
      </c>
      <c r="F102" s="24" t="s">
        <v>24</v>
      </c>
      <c r="G102" s="48">
        <v>4</v>
      </c>
      <c r="H102" s="24" t="s">
        <v>12</v>
      </c>
      <c r="I102" s="48">
        <f t="shared" si="0"/>
        <v>632</v>
      </c>
      <c r="J102" s="48" t="s">
        <v>25</v>
      </c>
      <c r="L102" s="10"/>
      <c r="P102" s="11"/>
      <c r="Q102" s="6"/>
    </row>
    <row r="103" spans="1:17" s="7" customFormat="1" ht="66" customHeight="1" x14ac:dyDescent="0.25">
      <c r="A103" s="8"/>
      <c r="B103" s="9"/>
      <c r="C103" s="22" t="s">
        <v>54</v>
      </c>
      <c r="D103" s="24" t="s">
        <v>12</v>
      </c>
      <c r="E103" s="48">
        <v>146</v>
      </c>
      <c r="F103" s="24" t="s">
        <v>24</v>
      </c>
      <c r="G103" s="48">
        <v>4</v>
      </c>
      <c r="H103" s="24" t="s">
        <v>12</v>
      </c>
      <c r="I103" s="48">
        <f t="shared" si="0"/>
        <v>584</v>
      </c>
      <c r="J103" s="48" t="s">
        <v>25</v>
      </c>
      <c r="L103" s="10"/>
      <c r="P103" s="11"/>
      <c r="Q103" s="6"/>
    </row>
    <row r="104" spans="1:17" s="7" customFormat="1" ht="66" customHeight="1" x14ac:dyDescent="0.25">
      <c r="A104" s="8"/>
      <c r="B104" s="9"/>
      <c r="C104" s="22" t="s">
        <v>55</v>
      </c>
      <c r="D104" s="24" t="s">
        <v>12</v>
      </c>
      <c r="E104" s="48">
        <v>36</v>
      </c>
      <c r="F104" s="24" t="s">
        <v>24</v>
      </c>
      <c r="G104" s="48">
        <v>12</v>
      </c>
      <c r="H104" s="24" t="s">
        <v>12</v>
      </c>
      <c r="I104" s="48">
        <f t="shared" si="0"/>
        <v>432</v>
      </c>
      <c r="J104" s="48" t="s">
        <v>25</v>
      </c>
      <c r="L104" s="10"/>
      <c r="P104" s="11"/>
      <c r="Q104" s="6"/>
    </row>
    <row r="105" spans="1:17" s="7" customFormat="1" ht="66" customHeight="1" x14ac:dyDescent="0.25">
      <c r="A105" s="8"/>
      <c r="B105" s="9"/>
      <c r="C105" s="51" t="s">
        <v>48</v>
      </c>
      <c r="D105" s="24" t="s">
        <v>12</v>
      </c>
      <c r="E105" s="25">
        <f>SUM(E98:E104)</f>
        <v>430.9</v>
      </c>
      <c r="G105" s="52" t="s">
        <v>48</v>
      </c>
      <c r="H105" s="27" t="s">
        <v>12</v>
      </c>
      <c r="I105" s="26">
        <f>SUM(I98:I104)</f>
        <v>2767.5</v>
      </c>
      <c r="J105" s="27" t="s">
        <v>25</v>
      </c>
      <c r="L105" s="10"/>
      <c r="P105" s="11"/>
      <c r="Q105" s="6"/>
    </row>
    <row r="106" spans="1:17" s="7" customFormat="1" ht="66" customHeight="1" x14ac:dyDescent="0.25">
      <c r="A106" s="8"/>
      <c r="B106" s="9"/>
      <c r="C106" s="10"/>
      <c r="G106" s="52"/>
      <c r="H106" s="27"/>
      <c r="I106" s="26"/>
      <c r="J106" s="27"/>
      <c r="L106" s="10"/>
      <c r="P106" s="11"/>
      <c r="Q106" s="6"/>
    </row>
    <row r="107" spans="1:17" s="7" customFormat="1" ht="66" customHeight="1" x14ac:dyDescent="0.25">
      <c r="A107" s="8"/>
      <c r="B107" s="9"/>
      <c r="C107" s="10"/>
      <c r="G107" s="52"/>
      <c r="H107" s="27"/>
      <c r="I107" s="26"/>
      <c r="J107" s="27"/>
      <c r="L107" s="10"/>
      <c r="P107" s="11"/>
      <c r="Q107" s="6"/>
    </row>
    <row r="108" spans="1:17" s="7" customFormat="1" ht="66" customHeight="1" x14ac:dyDescent="0.25">
      <c r="A108" s="8"/>
      <c r="B108" s="18" t="s">
        <v>56</v>
      </c>
      <c r="C108" s="19" t="str">
        <f>VLOOKUP($B108,[1]ORÇ_ANALITICO!$A$10:$K$137,2,0)</f>
        <v>05.001.0065-0</v>
      </c>
      <c r="D108" s="157" t="str">
        <f>VLOOKUP($C108,[1]ORÇ_ANALITICO!$B$10:$L$137,4,0)</f>
        <v>REMOCAO DE FORRO OU LAMBRI DE FRISOS DE MADEIRA OU PVC,PLACAS DE AGLOMERADO PRENSADO OU SEMELHANTES,INCLUSIVE O ENGRADAMAMENTO</v>
      </c>
      <c r="E108" s="157" t="e">
        <f>VLOOKUP(D108,[1]ORÇ_ANALITICO!#REF!,2,0)</f>
        <v>#REF!</v>
      </c>
      <c r="F108" s="157" t="e">
        <f>VLOOKUP(E108,[1]ORÇ_ANALITICO!#REF!,2,0)</f>
        <v>#REF!</v>
      </c>
      <c r="G108" s="157" t="e">
        <f>VLOOKUP(F108,[1]ORÇ_ANALITICO!#REF!,2,0)</f>
        <v>#REF!</v>
      </c>
      <c r="H108" s="157" t="e">
        <f>VLOOKUP(G108,[1]ORÇ_ANALITICO!#REF!,2,0)</f>
        <v>#REF!</v>
      </c>
      <c r="I108" s="157" t="e">
        <f>VLOOKUP(H108,[1]ORÇ_ANALITICO!#REF!,2,0)</f>
        <v>#REF!</v>
      </c>
      <c r="J108" s="157" t="e">
        <f>VLOOKUP(I108,[1]ORÇ_ANALITICO!#REF!,2,0)</f>
        <v>#REF!</v>
      </c>
      <c r="K108" s="157" t="e">
        <f>VLOOKUP(J108,[1]ORÇ_ANALITICO!#REF!,2,0)</f>
        <v>#REF!</v>
      </c>
      <c r="L108" s="157" t="e">
        <f>VLOOKUP(K108,[1]ORÇ_ANALITICO!#REF!,2,0)</f>
        <v>#REF!</v>
      </c>
      <c r="M108" s="157" t="e">
        <f>VLOOKUP(L108,[1]ORÇ_ANALITICO!#REF!,2,0)</f>
        <v>#REF!</v>
      </c>
      <c r="N108" s="157" t="e">
        <f>VLOOKUP(M108,[1]ORÇ_ANALITICO!#REF!,2,0)</f>
        <v>#REF!</v>
      </c>
      <c r="O108" s="20" t="str">
        <f>VLOOKUP($C108,[1]ORÇ_ANALITICO!$B$10:$L$137,5,0)</f>
        <v>M2</v>
      </c>
      <c r="P108" s="20">
        <f>E128</f>
        <v>516.95000000000005</v>
      </c>
      <c r="Q108" s="6"/>
    </row>
    <row r="109" spans="1:17" s="7" customFormat="1" ht="66" customHeight="1" x14ac:dyDescent="0.25">
      <c r="A109" s="8"/>
      <c r="B109" s="9"/>
      <c r="C109" s="10"/>
      <c r="L109" s="10"/>
      <c r="P109" s="11"/>
      <c r="Q109" s="6"/>
    </row>
    <row r="110" spans="1:17" s="7" customFormat="1" ht="66" customHeight="1" x14ac:dyDescent="0.25">
      <c r="A110" s="8"/>
      <c r="B110" s="9"/>
      <c r="C110" s="10"/>
      <c r="E110" s="22" t="s">
        <v>57</v>
      </c>
      <c r="L110" s="10"/>
      <c r="P110" s="11"/>
      <c r="Q110" s="6"/>
    </row>
    <row r="111" spans="1:17" s="7" customFormat="1" ht="66" customHeight="1" x14ac:dyDescent="0.25">
      <c r="A111" s="8"/>
      <c r="B111" s="9"/>
      <c r="C111" s="10"/>
      <c r="L111" s="10"/>
      <c r="P111" s="11"/>
      <c r="Q111" s="6"/>
    </row>
    <row r="112" spans="1:17" s="7" customFormat="1" ht="66" customHeight="1" x14ac:dyDescent="0.25">
      <c r="A112" s="8"/>
      <c r="B112" s="9"/>
      <c r="C112" s="22" t="s">
        <v>58</v>
      </c>
      <c r="D112" s="24" t="s">
        <v>12</v>
      </c>
      <c r="E112" s="48">
        <v>42.3</v>
      </c>
      <c r="F112" s="48" t="s">
        <v>25</v>
      </c>
      <c r="L112" s="10"/>
      <c r="P112" s="11"/>
      <c r="Q112" s="6"/>
    </row>
    <row r="113" spans="1:17" s="7" customFormat="1" ht="66" customHeight="1" x14ac:dyDescent="0.25">
      <c r="A113" s="8"/>
      <c r="B113" s="9"/>
      <c r="C113" s="22" t="s">
        <v>59</v>
      </c>
      <c r="D113" s="24" t="s">
        <v>12</v>
      </c>
      <c r="E113" s="48">
        <v>41.1</v>
      </c>
      <c r="F113" s="48" t="s">
        <v>25</v>
      </c>
      <c r="L113" s="10"/>
      <c r="P113" s="11"/>
      <c r="Q113" s="6"/>
    </row>
    <row r="114" spans="1:17" s="7" customFormat="1" ht="66" customHeight="1" x14ac:dyDescent="0.25">
      <c r="A114" s="8"/>
      <c r="B114" s="9"/>
      <c r="C114" s="53" t="s">
        <v>60</v>
      </c>
      <c r="D114" s="54" t="s">
        <v>12</v>
      </c>
      <c r="E114" s="55">
        <v>17.41</v>
      </c>
      <c r="F114" s="48" t="s">
        <v>25</v>
      </c>
      <c r="L114" s="10"/>
      <c r="P114" s="11"/>
      <c r="Q114" s="6"/>
    </row>
    <row r="115" spans="1:17" s="7" customFormat="1" ht="66" customHeight="1" x14ac:dyDescent="0.25">
      <c r="A115" s="8"/>
      <c r="B115" s="9"/>
      <c r="C115" s="22" t="s">
        <v>61</v>
      </c>
      <c r="D115" s="24" t="s">
        <v>12</v>
      </c>
      <c r="E115" s="48">
        <v>46.67</v>
      </c>
      <c r="F115" s="48" t="s">
        <v>25</v>
      </c>
      <c r="L115" s="10"/>
      <c r="P115" s="11"/>
      <c r="Q115" s="6"/>
    </row>
    <row r="116" spans="1:17" s="7" customFormat="1" ht="66" customHeight="1" x14ac:dyDescent="0.25">
      <c r="A116" s="8"/>
      <c r="B116" s="9"/>
      <c r="C116" s="22" t="s">
        <v>62</v>
      </c>
      <c r="D116" s="24" t="s">
        <v>12</v>
      </c>
      <c r="E116" s="48">
        <v>15.59</v>
      </c>
      <c r="F116" s="48" t="s">
        <v>25</v>
      </c>
      <c r="L116" s="10"/>
      <c r="P116" s="11"/>
      <c r="Q116" s="6"/>
    </row>
    <row r="117" spans="1:17" s="7" customFormat="1" ht="66" customHeight="1" x14ac:dyDescent="0.25">
      <c r="A117" s="8"/>
      <c r="B117" s="9"/>
      <c r="C117" s="22" t="s">
        <v>63</v>
      </c>
      <c r="D117" s="24" t="s">
        <v>12</v>
      </c>
      <c r="E117" s="48">
        <v>59.05</v>
      </c>
      <c r="F117" s="48" t="s">
        <v>25</v>
      </c>
      <c r="L117" s="10"/>
      <c r="P117" s="11"/>
      <c r="Q117" s="6"/>
    </row>
    <row r="118" spans="1:17" s="7" customFormat="1" ht="66" customHeight="1" x14ac:dyDescent="0.25">
      <c r="A118" s="8"/>
      <c r="B118" s="9"/>
      <c r="C118" s="22" t="s">
        <v>64</v>
      </c>
      <c r="D118" s="24" t="s">
        <v>12</v>
      </c>
      <c r="E118" s="48">
        <v>58.56</v>
      </c>
      <c r="F118" s="48" t="s">
        <v>25</v>
      </c>
      <c r="L118" s="10"/>
      <c r="P118" s="11"/>
      <c r="Q118" s="6"/>
    </row>
    <row r="119" spans="1:17" s="7" customFormat="1" ht="66" customHeight="1" x14ac:dyDescent="0.25">
      <c r="A119" s="8"/>
      <c r="B119" s="9"/>
      <c r="C119" s="22" t="s">
        <v>65</v>
      </c>
      <c r="D119" s="24" t="s">
        <v>12</v>
      </c>
      <c r="E119" s="48">
        <v>18.489999999999998</v>
      </c>
      <c r="F119" s="48" t="s">
        <v>25</v>
      </c>
      <c r="L119" s="10"/>
      <c r="P119" s="11"/>
      <c r="Q119" s="6"/>
    </row>
    <row r="120" spans="1:17" s="7" customFormat="1" ht="66" customHeight="1" x14ac:dyDescent="0.25">
      <c r="A120" s="8"/>
      <c r="B120" s="9"/>
      <c r="C120" s="22" t="s">
        <v>66</v>
      </c>
      <c r="D120" s="24" t="s">
        <v>12</v>
      </c>
      <c r="E120" s="48">
        <v>117.12</v>
      </c>
      <c r="F120" s="48" t="s">
        <v>25</v>
      </c>
      <c r="L120" s="10"/>
      <c r="P120" s="11"/>
      <c r="Q120" s="6"/>
    </row>
    <row r="121" spans="1:17" s="7" customFormat="1" ht="66" customHeight="1" x14ac:dyDescent="0.25">
      <c r="A121" s="8"/>
      <c r="B121" s="9"/>
      <c r="C121" s="22" t="s">
        <v>67</v>
      </c>
      <c r="D121" s="24" t="s">
        <v>12</v>
      </c>
      <c r="E121" s="48">
        <v>5.98</v>
      </c>
      <c r="F121" s="48" t="s">
        <v>25</v>
      </c>
      <c r="L121" s="10"/>
      <c r="P121" s="11"/>
      <c r="Q121" s="6"/>
    </row>
    <row r="122" spans="1:17" s="7" customFormat="1" ht="66" customHeight="1" x14ac:dyDescent="0.25">
      <c r="A122" s="8"/>
      <c r="B122" s="9"/>
      <c r="C122" s="22" t="s">
        <v>68</v>
      </c>
      <c r="D122" s="24" t="s">
        <v>12</v>
      </c>
      <c r="E122" s="48">
        <v>8.41</v>
      </c>
      <c r="F122" s="48" t="s">
        <v>25</v>
      </c>
      <c r="L122" s="10"/>
      <c r="P122" s="11"/>
      <c r="Q122" s="6"/>
    </row>
    <row r="123" spans="1:17" s="7" customFormat="1" ht="66" customHeight="1" x14ac:dyDescent="0.25">
      <c r="A123" s="8"/>
      <c r="B123" s="9"/>
      <c r="C123" s="22" t="s">
        <v>69</v>
      </c>
      <c r="D123" s="24" t="s">
        <v>12</v>
      </c>
      <c r="E123" s="48">
        <v>7.82</v>
      </c>
      <c r="F123" s="48" t="s">
        <v>25</v>
      </c>
      <c r="L123" s="10"/>
      <c r="P123" s="11"/>
      <c r="Q123" s="6"/>
    </row>
    <row r="124" spans="1:17" s="7" customFormat="1" ht="66" customHeight="1" x14ac:dyDescent="0.25">
      <c r="A124" s="8"/>
      <c r="B124" s="9"/>
      <c r="C124" s="22" t="s">
        <v>70</v>
      </c>
      <c r="D124" s="24" t="s">
        <v>12</v>
      </c>
      <c r="E124" s="48">
        <v>45.94</v>
      </c>
      <c r="F124" s="48" t="s">
        <v>25</v>
      </c>
      <c r="L124" s="10"/>
      <c r="P124" s="11"/>
      <c r="Q124" s="6"/>
    </row>
    <row r="125" spans="1:17" s="7" customFormat="1" ht="66" customHeight="1" x14ac:dyDescent="0.25">
      <c r="A125" s="8"/>
      <c r="B125" s="9"/>
      <c r="C125" s="22" t="s">
        <v>71</v>
      </c>
      <c r="D125" s="24" t="s">
        <v>12</v>
      </c>
      <c r="E125" s="48">
        <v>20.27</v>
      </c>
      <c r="F125" s="48" t="s">
        <v>25</v>
      </c>
      <c r="L125" s="10"/>
      <c r="P125" s="11"/>
      <c r="Q125" s="6"/>
    </row>
    <row r="126" spans="1:17" s="7" customFormat="1" ht="66" customHeight="1" x14ac:dyDescent="0.25">
      <c r="A126" s="8"/>
      <c r="B126" s="9"/>
      <c r="C126" s="22" t="s">
        <v>72</v>
      </c>
      <c r="D126" s="24" t="s">
        <v>12</v>
      </c>
      <c r="E126" s="48">
        <v>12.24</v>
      </c>
      <c r="F126" s="48" t="s">
        <v>25</v>
      </c>
      <c r="L126" s="10"/>
      <c r="P126" s="11"/>
      <c r="Q126" s="6"/>
    </row>
    <row r="127" spans="1:17" s="7" customFormat="1" ht="66" customHeight="1" x14ac:dyDescent="0.25">
      <c r="A127" s="8"/>
      <c r="B127" s="9"/>
      <c r="C127" s="22"/>
      <c r="D127" s="24"/>
      <c r="E127" s="48"/>
      <c r="F127" s="24"/>
      <c r="L127" s="10"/>
      <c r="P127" s="11"/>
      <c r="Q127" s="6"/>
    </row>
    <row r="128" spans="1:17" s="7" customFormat="1" ht="66" customHeight="1" x14ac:dyDescent="0.25">
      <c r="A128" s="8"/>
      <c r="B128" s="9"/>
      <c r="C128" s="52" t="s">
        <v>48</v>
      </c>
      <c r="D128" s="27" t="s">
        <v>12</v>
      </c>
      <c r="E128" s="26">
        <f>SUM(E112:E126)</f>
        <v>516.95000000000005</v>
      </c>
      <c r="F128" s="27" t="s">
        <v>25</v>
      </c>
      <c r="L128" s="10"/>
      <c r="P128" s="11"/>
      <c r="Q128" s="6"/>
    </row>
    <row r="129" spans="1:17" s="7" customFormat="1" ht="66" customHeight="1" x14ac:dyDescent="0.25">
      <c r="A129" s="8"/>
      <c r="B129" s="9"/>
      <c r="C129" s="10"/>
      <c r="G129" s="52"/>
      <c r="H129" s="27"/>
      <c r="I129" s="26"/>
      <c r="J129" s="27"/>
      <c r="L129" s="10"/>
      <c r="P129" s="11"/>
      <c r="Q129" s="6"/>
    </row>
    <row r="130" spans="1:17" s="7" customFormat="1" ht="66" customHeight="1" x14ac:dyDescent="0.25">
      <c r="A130" s="8"/>
      <c r="B130" s="9"/>
      <c r="C130" s="10"/>
      <c r="G130" s="52"/>
      <c r="H130" s="27"/>
      <c r="I130" s="26"/>
      <c r="J130" s="27"/>
      <c r="L130" s="10"/>
      <c r="P130" s="11"/>
      <c r="Q130" s="6"/>
    </row>
    <row r="131" spans="1:17" s="7" customFormat="1" ht="66" customHeight="1" x14ac:dyDescent="0.25">
      <c r="A131" s="8"/>
      <c r="B131" s="18" t="s">
        <v>73</v>
      </c>
      <c r="C131" s="19" t="str">
        <f>VLOOKUP($B131,[1]ORÇ_ANALITICO!$A$10:$K$137,2,0)</f>
        <v>05.001.0134-0</v>
      </c>
      <c r="D131" s="157" t="str">
        <f>VLOOKUP($C131,[1]ORÇ_ANALITICO!$B$10:$L$137,4,0)</f>
        <v>ARRANCAMENTO DE PORTAS,JANELAS E CAIXILHOS DE AR CONDICIONADO OU OUTROS</v>
      </c>
      <c r="E131" s="157" t="e">
        <f>VLOOKUP(D131,[1]ORÇ_ANALITICO!C2:M106,2,0)</f>
        <v>#N/A</v>
      </c>
      <c r="F131" s="157" t="e">
        <f>VLOOKUP(E131,[1]ORÇ_ANALITICO!E2:N106,2,0)</f>
        <v>#N/A</v>
      </c>
      <c r="G131" s="157" t="e">
        <f>VLOOKUP(F131,[1]ORÇ_ANALITICO!F2:O106,2,0)</f>
        <v>#N/A</v>
      </c>
      <c r="H131" s="157" t="e">
        <f>VLOOKUP(G131,[1]ORÇ_ANALITICO!G2:P106,2,0)</f>
        <v>#N/A</v>
      </c>
      <c r="I131" s="157" t="e">
        <f>VLOOKUP(H131,[1]ORÇ_ANALITICO!H2:Q106,2,0)</f>
        <v>#N/A</v>
      </c>
      <c r="J131" s="157" t="e">
        <f>VLOOKUP(I131,[1]ORÇ_ANALITICO!I2:R106,2,0)</f>
        <v>#N/A</v>
      </c>
      <c r="K131" s="157" t="e">
        <f>VLOOKUP(J131,[1]ORÇ_ANALITICO!J2:S106,2,0)</f>
        <v>#N/A</v>
      </c>
      <c r="L131" s="157" t="e">
        <f>VLOOKUP(K131,[1]ORÇ_ANALITICO!K2:T106,2,0)</f>
        <v>#N/A</v>
      </c>
      <c r="M131" s="157" t="e">
        <f>VLOOKUP(L131,[1]ORÇ_ANALITICO!L2:U106,2,0)</f>
        <v>#N/A</v>
      </c>
      <c r="N131" s="157" t="e">
        <f>VLOOKUP(M131,[1]ORÇ_ANALITICO!M2:V106,2,0)</f>
        <v>#N/A</v>
      </c>
      <c r="O131" s="20" t="str">
        <f>VLOOKUP($C131,[1]ORÇ_ANALITICO!$B$10:$L$137,5,0)</f>
        <v>UN</v>
      </c>
      <c r="P131" s="20">
        <f>E161</f>
        <v>43</v>
      </c>
      <c r="Q131" s="6"/>
    </row>
    <row r="132" spans="1:17" s="7" customFormat="1" ht="66" customHeight="1" x14ac:dyDescent="0.25">
      <c r="A132" s="8"/>
      <c r="B132" s="9"/>
      <c r="C132" s="10"/>
      <c r="L132" s="10"/>
      <c r="P132" s="11"/>
      <c r="Q132" s="6"/>
    </row>
    <row r="133" spans="1:17" s="7" customFormat="1" ht="66" customHeight="1" x14ac:dyDescent="0.25">
      <c r="A133" s="8"/>
      <c r="B133" s="9"/>
      <c r="C133" s="22" t="s">
        <v>74</v>
      </c>
      <c r="D133" s="24"/>
      <c r="E133" s="48" t="s">
        <v>75</v>
      </c>
      <c r="F133" s="24"/>
      <c r="L133" s="10"/>
      <c r="P133" s="11"/>
      <c r="Q133" s="6"/>
    </row>
    <row r="134" spans="1:17" s="7" customFormat="1" ht="66" customHeight="1" x14ac:dyDescent="0.25">
      <c r="A134" s="8"/>
      <c r="B134" s="9"/>
      <c r="C134" s="22"/>
      <c r="D134" s="24"/>
      <c r="E134" s="48"/>
      <c r="F134" s="24"/>
      <c r="L134" s="10"/>
      <c r="P134" s="11"/>
      <c r="Q134" s="6"/>
    </row>
    <row r="135" spans="1:17" s="7" customFormat="1" ht="66" customHeight="1" x14ac:dyDescent="0.25">
      <c r="A135" s="8"/>
      <c r="B135" s="9"/>
      <c r="C135" s="22" t="s">
        <v>76</v>
      </c>
      <c r="D135" s="24" t="s">
        <v>12</v>
      </c>
      <c r="E135" s="56">
        <v>2</v>
      </c>
      <c r="F135" s="24" t="s">
        <v>77</v>
      </c>
      <c r="H135" s="57">
        <v>1.4</v>
      </c>
      <c r="I135" s="58" t="s">
        <v>24</v>
      </c>
      <c r="J135" s="58">
        <v>2.8</v>
      </c>
      <c r="K135" s="58" t="s">
        <v>24</v>
      </c>
      <c r="L135" s="58">
        <v>2</v>
      </c>
      <c r="M135" s="58" t="s">
        <v>12</v>
      </c>
      <c r="N135" s="59">
        <f>H135*J135*L135</f>
        <v>7.839999999999999</v>
      </c>
      <c r="O135" s="60" t="s">
        <v>25</v>
      </c>
      <c r="P135" s="11"/>
      <c r="Q135" s="6"/>
    </row>
    <row r="136" spans="1:17" s="7" customFormat="1" ht="66" customHeight="1" x14ac:dyDescent="0.25">
      <c r="A136" s="8"/>
      <c r="B136" s="9"/>
      <c r="C136" s="22" t="s">
        <v>78</v>
      </c>
      <c r="D136" s="24" t="s">
        <v>12</v>
      </c>
      <c r="E136" s="56">
        <v>2</v>
      </c>
      <c r="F136" s="24" t="s">
        <v>77</v>
      </c>
      <c r="H136" s="61">
        <v>1.4</v>
      </c>
      <c r="I136" s="48" t="s">
        <v>24</v>
      </c>
      <c r="J136" s="48">
        <v>2.8</v>
      </c>
      <c r="K136" s="48" t="s">
        <v>24</v>
      </c>
      <c r="L136" s="48">
        <v>2</v>
      </c>
      <c r="M136" s="48" t="s">
        <v>12</v>
      </c>
      <c r="N136" s="25">
        <f t="shared" ref="N136:N148" si="1">H136*J136*L136</f>
        <v>7.839999999999999</v>
      </c>
      <c r="O136" s="33" t="s">
        <v>25</v>
      </c>
      <c r="P136" s="11"/>
      <c r="Q136" s="6"/>
    </row>
    <row r="137" spans="1:17" s="7" customFormat="1" ht="66" customHeight="1" x14ac:dyDescent="0.25">
      <c r="A137" s="8"/>
      <c r="B137" s="9"/>
      <c r="C137" s="22" t="s">
        <v>79</v>
      </c>
      <c r="D137" s="24" t="s">
        <v>12</v>
      </c>
      <c r="E137" s="56">
        <v>2</v>
      </c>
      <c r="F137" s="24" t="s">
        <v>77</v>
      </c>
      <c r="H137" s="61">
        <v>1.4</v>
      </c>
      <c r="I137" s="48" t="s">
        <v>24</v>
      </c>
      <c r="J137" s="48">
        <v>2.8</v>
      </c>
      <c r="K137" s="48" t="s">
        <v>24</v>
      </c>
      <c r="L137" s="48">
        <v>2</v>
      </c>
      <c r="M137" s="48" t="s">
        <v>12</v>
      </c>
      <c r="N137" s="25">
        <f t="shared" si="1"/>
        <v>7.839999999999999</v>
      </c>
      <c r="O137" s="33" t="s">
        <v>25</v>
      </c>
      <c r="P137" s="11"/>
      <c r="Q137" s="6"/>
    </row>
    <row r="138" spans="1:17" s="7" customFormat="1" ht="66" customHeight="1" x14ac:dyDescent="0.25">
      <c r="A138" s="8"/>
      <c r="B138" s="9"/>
      <c r="C138" s="22" t="s">
        <v>80</v>
      </c>
      <c r="D138" s="24" t="s">
        <v>12</v>
      </c>
      <c r="E138" s="56">
        <v>2</v>
      </c>
      <c r="F138" s="24" t="s">
        <v>77</v>
      </c>
      <c r="H138" s="61">
        <v>1.4</v>
      </c>
      <c r="I138" s="48" t="s">
        <v>24</v>
      </c>
      <c r="J138" s="48">
        <v>2.4</v>
      </c>
      <c r="K138" s="48" t="s">
        <v>24</v>
      </c>
      <c r="L138" s="48">
        <v>2</v>
      </c>
      <c r="M138" s="48" t="s">
        <v>12</v>
      </c>
      <c r="N138" s="25">
        <f t="shared" si="1"/>
        <v>6.72</v>
      </c>
      <c r="O138" s="33" t="s">
        <v>25</v>
      </c>
      <c r="P138" s="11"/>
      <c r="Q138" s="6"/>
    </row>
    <row r="139" spans="1:17" s="7" customFormat="1" ht="66" customHeight="1" x14ac:dyDescent="0.25">
      <c r="A139" s="8"/>
      <c r="B139" s="9"/>
      <c r="C139" s="22" t="s">
        <v>81</v>
      </c>
      <c r="D139" s="24" t="s">
        <v>12</v>
      </c>
      <c r="E139" s="56">
        <v>1</v>
      </c>
      <c r="F139" s="24" t="s">
        <v>77</v>
      </c>
      <c r="H139" s="61">
        <v>1.4</v>
      </c>
      <c r="I139" s="48" t="s">
        <v>24</v>
      </c>
      <c r="J139" s="48">
        <v>2.8</v>
      </c>
      <c r="K139" s="48" t="s">
        <v>24</v>
      </c>
      <c r="L139" s="48">
        <v>1</v>
      </c>
      <c r="M139" s="48" t="s">
        <v>12</v>
      </c>
      <c r="N139" s="25">
        <f t="shared" si="1"/>
        <v>3.9199999999999995</v>
      </c>
      <c r="O139" s="33" t="s">
        <v>25</v>
      </c>
      <c r="P139" s="11"/>
      <c r="Q139" s="6"/>
    </row>
    <row r="140" spans="1:17" s="7" customFormat="1" ht="66" customHeight="1" x14ac:dyDescent="0.25">
      <c r="A140" s="8"/>
      <c r="B140" s="9"/>
      <c r="C140" s="22" t="s">
        <v>82</v>
      </c>
      <c r="D140" s="24" t="s">
        <v>12</v>
      </c>
      <c r="E140" s="56">
        <v>2</v>
      </c>
      <c r="F140" s="24" t="s">
        <v>77</v>
      </c>
      <c r="H140" s="61">
        <v>1.4</v>
      </c>
      <c r="I140" s="48" t="s">
        <v>24</v>
      </c>
      <c r="J140" s="48">
        <v>2.4</v>
      </c>
      <c r="K140" s="48" t="s">
        <v>24</v>
      </c>
      <c r="L140" s="48">
        <v>2</v>
      </c>
      <c r="M140" s="48" t="s">
        <v>12</v>
      </c>
      <c r="N140" s="25">
        <f t="shared" si="1"/>
        <v>6.72</v>
      </c>
      <c r="O140" s="33" t="s">
        <v>25</v>
      </c>
      <c r="P140" s="11"/>
      <c r="Q140" s="6"/>
    </row>
    <row r="141" spans="1:17" s="7" customFormat="1" ht="66" customHeight="1" x14ac:dyDescent="0.25">
      <c r="A141" s="8"/>
      <c r="B141" s="9"/>
      <c r="C141" s="22" t="s">
        <v>83</v>
      </c>
      <c r="D141" s="24" t="s">
        <v>12</v>
      </c>
      <c r="E141" s="56">
        <v>1</v>
      </c>
      <c r="F141" s="24" t="s">
        <v>77</v>
      </c>
      <c r="H141" s="61">
        <v>1.4</v>
      </c>
      <c r="I141" s="48" t="s">
        <v>24</v>
      </c>
      <c r="J141" s="48">
        <v>2.8</v>
      </c>
      <c r="K141" s="48" t="s">
        <v>24</v>
      </c>
      <c r="L141" s="48">
        <v>1</v>
      </c>
      <c r="M141" s="48" t="s">
        <v>12</v>
      </c>
      <c r="N141" s="25">
        <f t="shared" si="1"/>
        <v>3.9199999999999995</v>
      </c>
      <c r="O141" s="33" t="s">
        <v>25</v>
      </c>
      <c r="P141" s="11"/>
      <c r="Q141" s="6"/>
    </row>
    <row r="142" spans="1:17" s="7" customFormat="1" ht="66" customHeight="1" x14ac:dyDescent="0.25">
      <c r="A142" s="8"/>
      <c r="B142" s="9"/>
      <c r="C142" s="22" t="s">
        <v>84</v>
      </c>
      <c r="D142" s="24" t="s">
        <v>12</v>
      </c>
      <c r="E142" s="56">
        <v>2</v>
      </c>
      <c r="F142" s="24" t="s">
        <v>77</v>
      </c>
      <c r="H142" s="61">
        <v>1.4</v>
      </c>
      <c r="I142" s="48" t="s">
        <v>24</v>
      </c>
      <c r="J142" s="48">
        <v>2.8</v>
      </c>
      <c r="K142" s="48" t="s">
        <v>24</v>
      </c>
      <c r="L142" s="48">
        <v>2</v>
      </c>
      <c r="M142" s="48" t="s">
        <v>12</v>
      </c>
      <c r="N142" s="25">
        <f t="shared" si="1"/>
        <v>7.839999999999999</v>
      </c>
      <c r="O142" s="33" t="s">
        <v>25</v>
      </c>
      <c r="P142" s="11"/>
      <c r="Q142" s="6"/>
    </row>
    <row r="143" spans="1:17" s="7" customFormat="1" ht="66" customHeight="1" x14ac:dyDescent="0.25">
      <c r="A143" s="8"/>
      <c r="B143" s="9"/>
      <c r="C143" s="22" t="s">
        <v>85</v>
      </c>
      <c r="D143" s="24" t="s">
        <v>12</v>
      </c>
      <c r="E143" s="56">
        <v>1</v>
      </c>
      <c r="F143" s="24" t="s">
        <v>77</v>
      </c>
      <c r="H143" s="61">
        <v>1.4</v>
      </c>
      <c r="I143" s="48" t="s">
        <v>24</v>
      </c>
      <c r="J143" s="48">
        <v>2.8</v>
      </c>
      <c r="K143" s="48" t="s">
        <v>24</v>
      </c>
      <c r="L143" s="48">
        <v>1</v>
      </c>
      <c r="M143" s="48" t="s">
        <v>12</v>
      </c>
      <c r="N143" s="25">
        <f t="shared" si="1"/>
        <v>3.9199999999999995</v>
      </c>
      <c r="O143" s="33" t="s">
        <v>25</v>
      </c>
      <c r="P143" s="11"/>
      <c r="Q143" s="6"/>
    </row>
    <row r="144" spans="1:17" s="7" customFormat="1" ht="66" customHeight="1" x14ac:dyDescent="0.25">
      <c r="A144" s="8"/>
      <c r="B144" s="9"/>
      <c r="C144" s="22" t="s">
        <v>86</v>
      </c>
      <c r="D144" s="24" t="s">
        <v>12</v>
      </c>
      <c r="E144" s="56">
        <v>4</v>
      </c>
      <c r="F144" s="24" t="s">
        <v>77</v>
      </c>
      <c r="H144" s="61">
        <v>1.4</v>
      </c>
      <c r="I144" s="48" t="s">
        <v>24</v>
      </c>
      <c r="J144" s="48">
        <v>2.8</v>
      </c>
      <c r="K144" s="48" t="s">
        <v>24</v>
      </c>
      <c r="L144" s="48">
        <v>4</v>
      </c>
      <c r="M144" s="48" t="s">
        <v>12</v>
      </c>
      <c r="N144" s="25">
        <f t="shared" si="1"/>
        <v>15.679999999999998</v>
      </c>
      <c r="O144" s="33" t="s">
        <v>25</v>
      </c>
      <c r="P144" s="11"/>
      <c r="Q144" s="6"/>
    </row>
    <row r="145" spans="1:17" s="7" customFormat="1" ht="66" customHeight="1" x14ac:dyDescent="0.25">
      <c r="A145" s="8"/>
      <c r="B145" s="9"/>
      <c r="C145" s="22" t="s">
        <v>87</v>
      </c>
      <c r="D145" s="24" t="s">
        <v>12</v>
      </c>
      <c r="E145" s="56">
        <v>1</v>
      </c>
      <c r="F145" s="24" t="s">
        <v>77</v>
      </c>
      <c r="H145" s="61">
        <v>1.4</v>
      </c>
      <c r="I145" s="48" t="s">
        <v>24</v>
      </c>
      <c r="J145" s="48">
        <v>2.8</v>
      </c>
      <c r="K145" s="48" t="s">
        <v>24</v>
      </c>
      <c r="L145" s="48">
        <v>1</v>
      </c>
      <c r="M145" s="48" t="s">
        <v>12</v>
      </c>
      <c r="N145" s="25">
        <f t="shared" si="1"/>
        <v>3.9199999999999995</v>
      </c>
      <c r="O145" s="33" t="s">
        <v>25</v>
      </c>
      <c r="P145" s="11"/>
      <c r="Q145" s="6"/>
    </row>
    <row r="146" spans="1:17" s="7" customFormat="1" ht="66" customHeight="1" x14ac:dyDescent="0.25">
      <c r="A146" s="8"/>
      <c r="B146" s="9"/>
      <c r="C146" s="22" t="s">
        <v>88</v>
      </c>
      <c r="D146" s="24" t="s">
        <v>12</v>
      </c>
      <c r="E146" s="56">
        <v>1</v>
      </c>
      <c r="F146" s="24" t="s">
        <v>77</v>
      </c>
      <c r="H146" s="61">
        <v>1.4</v>
      </c>
      <c r="I146" s="48" t="s">
        <v>24</v>
      </c>
      <c r="J146" s="48">
        <v>2.4</v>
      </c>
      <c r="K146" s="48" t="s">
        <v>24</v>
      </c>
      <c r="L146" s="48">
        <v>1</v>
      </c>
      <c r="M146" s="48" t="s">
        <v>12</v>
      </c>
      <c r="N146" s="25">
        <f t="shared" si="1"/>
        <v>3.36</v>
      </c>
      <c r="O146" s="33" t="s">
        <v>25</v>
      </c>
      <c r="P146" s="11"/>
      <c r="Q146" s="6"/>
    </row>
    <row r="147" spans="1:17" s="7" customFormat="1" ht="66" customHeight="1" x14ac:dyDescent="0.25">
      <c r="A147" s="8"/>
      <c r="B147" s="9"/>
      <c r="C147" s="22" t="s">
        <v>89</v>
      </c>
      <c r="D147" s="24" t="s">
        <v>12</v>
      </c>
      <c r="E147" s="56">
        <v>1</v>
      </c>
      <c r="F147" s="24" t="s">
        <v>77</v>
      </c>
      <c r="H147" s="61">
        <v>1.4</v>
      </c>
      <c r="I147" s="48" t="s">
        <v>24</v>
      </c>
      <c r="J147" s="48">
        <v>2.4</v>
      </c>
      <c r="K147" s="48" t="s">
        <v>24</v>
      </c>
      <c r="L147" s="48">
        <v>1</v>
      </c>
      <c r="M147" s="48" t="s">
        <v>12</v>
      </c>
      <c r="N147" s="25">
        <f t="shared" si="1"/>
        <v>3.36</v>
      </c>
      <c r="O147" s="33" t="s">
        <v>25</v>
      </c>
      <c r="P147" s="11"/>
      <c r="Q147" s="6"/>
    </row>
    <row r="148" spans="1:17" s="7" customFormat="1" ht="66" customHeight="1" x14ac:dyDescent="0.25">
      <c r="A148" s="8"/>
      <c r="B148" s="9"/>
      <c r="C148" s="22" t="s">
        <v>90</v>
      </c>
      <c r="D148" s="24" t="s">
        <v>12</v>
      </c>
      <c r="E148" s="56">
        <v>2</v>
      </c>
      <c r="F148" s="24" t="s">
        <v>77</v>
      </c>
      <c r="H148" s="61">
        <v>1.4</v>
      </c>
      <c r="I148" s="48" t="s">
        <v>24</v>
      </c>
      <c r="J148" s="48">
        <v>2.4</v>
      </c>
      <c r="K148" s="48" t="s">
        <v>24</v>
      </c>
      <c r="L148" s="48">
        <v>2</v>
      </c>
      <c r="M148" s="48" t="s">
        <v>12</v>
      </c>
      <c r="N148" s="25">
        <f t="shared" si="1"/>
        <v>6.72</v>
      </c>
      <c r="O148" s="33" t="s">
        <v>25</v>
      </c>
      <c r="P148" s="11"/>
      <c r="Q148" s="6"/>
    </row>
    <row r="149" spans="1:17" s="7" customFormat="1" ht="66" customHeight="1" x14ac:dyDescent="0.25">
      <c r="A149" s="8"/>
      <c r="B149" s="9"/>
      <c r="C149" s="22" t="s">
        <v>91</v>
      </c>
      <c r="D149" s="24" t="s">
        <v>12</v>
      </c>
      <c r="E149" s="56">
        <v>2</v>
      </c>
      <c r="F149" s="24" t="s">
        <v>77</v>
      </c>
      <c r="H149" s="61">
        <v>1.4</v>
      </c>
      <c r="I149" s="48" t="s">
        <v>24</v>
      </c>
      <c r="J149" s="48">
        <v>2.4</v>
      </c>
      <c r="K149" s="48" t="s">
        <v>24</v>
      </c>
      <c r="L149" s="48">
        <v>2</v>
      </c>
      <c r="M149" s="48" t="s">
        <v>12</v>
      </c>
      <c r="N149" s="25">
        <f>H149*J149*L149</f>
        <v>6.72</v>
      </c>
      <c r="O149" s="33" t="s">
        <v>25</v>
      </c>
      <c r="P149" s="11"/>
      <c r="Q149" s="6"/>
    </row>
    <row r="150" spans="1:17" s="7" customFormat="1" ht="66" customHeight="1" x14ac:dyDescent="0.25">
      <c r="A150" s="8"/>
      <c r="B150" s="9"/>
      <c r="C150" s="22" t="s">
        <v>92</v>
      </c>
      <c r="D150" s="24" t="s">
        <v>12</v>
      </c>
      <c r="E150" s="56">
        <v>1</v>
      </c>
      <c r="F150" s="24" t="s">
        <v>77</v>
      </c>
      <c r="H150" s="61">
        <v>1.4</v>
      </c>
      <c r="I150" s="48" t="s">
        <v>24</v>
      </c>
      <c r="J150" s="48">
        <v>2.4</v>
      </c>
      <c r="K150" s="48" t="s">
        <v>24</v>
      </c>
      <c r="L150" s="48">
        <v>1</v>
      </c>
      <c r="M150" s="48" t="s">
        <v>12</v>
      </c>
      <c r="N150" s="25">
        <f t="shared" ref="N150:N156" si="2">H150*J150*L150</f>
        <v>3.36</v>
      </c>
      <c r="O150" s="33" t="s">
        <v>25</v>
      </c>
      <c r="P150" s="11"/>
      <c r="Q150" s="6"/>
    </row>
    <row r="151" spans="1:17" s="7" customFormat="1" ht="66" customHeight="1" x14ac:dyDescent="0.25">
      <c r="A151" s="8"/>
      <c r="B151" s="9"/>
      <c r="C151" s="22" t="s">
        <v>93</v>
      </c>
      <c r="D151" s="24" t="s">
        <v>12</v>
      </c>
      <c r="E151" s="56">
        <v>1</v>
      </c>
      <c r="F151" s="24" t="s">
        <v>77</v>
      </c>
      <c r="H151" s="61">
        <v>1.4</v>
      </c>
      <c r="I151" s="48" t="s">
        <v>24</v>
      </c>
      <c r="J151" s="48">
        <v>2.4</v>
      </c>
      <c r="K151" s="48" t="s">
        <v>24</v>
      </c>
      <c r="L151" s="48">
        <v>1</v>
      </c>
      <c r="M151" s="48" t="s">
        <v>12</v>
      </c>
      <c r="N151" s="25">
        <f t="shared" si="2"/>
        <v>3.36</v>
      </c>
      <c r="O151" s="33" t="s">
        <v>25</v>
      </c>
      <c r="P151" s="11"/>
      <c r="Q151" s="6"/>
    </row>
    <row r="152" spans="1:17" s="7" customFormat="1" ht="66" customHeight="1" x14ac:dyDescent="0.25">
      <c r="A152" s="8"/>
      <c r="B152" s="9"/>
      <c r="C152" s="22" t="s">
        <v>94</v>
      </c>
      <c r="D152" s="24" t="s">
        <v>12</v>
      </c>
      <c r="E152" s="56">
        <v>2</v>
      </c>
      <c r="F152" s="24" t="s">
        <v>77</v>
      </c>
      <c r="H152" s="61">
        <v>1.4</v>
      </c>
      <c r="I152" s="48" t="s">
        <v>24</v>
      </c>
      <c r="J152" s="48">
        <v>2.4</v>
      </c>
      <c r="K152" s="48" t="s">
        <v>24</v>
      </c>
      <c r="L152" s="48">
        <v>2</v>
      </c>
      <c r="M152" s="48" t="s">
        <v>12</v>
      </c>
      <c r="N152" s="25">
        <f t="shared" si="2"/>
        <v>6.72</v>
      </c>
      <c r="O152" s="33" t="s">
        <v>25</v>
      </c>
      <c r="P152" s="11"/>
      <c r="Q152" s="6"/>
    </row>
    <row r="153" spans="1:17" s="7" customFormat="1" ht="66" customHeight="1" x14ac:dyDescent="0.25">
      <c r="A153" s="8"/>
      <c r="B153" s="9"/>
      <c r="C153" s="22" t="s">
        <v>95</v>
      </c>
      <c r="D153" s="24" t="s">
        <v>12</v>
      </c>
      <c r="E153" s="56">
        <v>4</v>
      </c>
      <c r="F153" s="24" t="s">
        <v>77</v>
      </c>
      <c r="H153" s="61">
        <v>1.4</v>
      </c>
      <c r="I153" s="48" t="s">
        <v>24</v>
      </c>
      <c r="J153" s="48">
        <v>2.4</v>
      </c>
      <c r="K153" s="48" t="s">
        <v>24</v>
      </c>
      <c r="L153" s="48">
        <v>4</v>
      </c>
      <c r="M153" s="48" t="s">
        <v>12</v>
      </c>
      <c r="N153" s="25">
        <f t="shared" si="2"/>
        <v>13.44</v>
      </c>
      <c r="O153" s="33" t="s">
        <v>25</v>
      </c>
      <c r="P153" s="11"/>
      <c r="Q153" s="6"/>
    </row>
    <row r="154" spans="1:17" s="7" customFormat="1" ht="66" customHeight="1" x14ac:dyDescent="0.25">
      <c r="A154" s="8"/>
      <c r="B154" s="9"/>
      <c r="C154" s="22" t="s">
        <v>96</v>
      </c>
      <c r="D154" s="24" t="s">
        <v>12</v>
      </c>
      <c r="E154" s="56">
        <v>2</v>
      </c>
      <c r="F154" s="24" t="s">
        <v>77</v>
      </c>
      <c r="H154" s="61">
        <v>1.4</v>
      </c>
      <c r="I154" s="48" t="s">
        <v>24</v>
      </c>
      <c r="J154" s="48">
        <v>2.4</v>
      </c>
      <c r="K154" s="48" t="s">
        <v>24</v>
      </c>
      <c r="L154" s="48">
        <v>2</v>
      </c>
      <c r="M154" s="48" t="s">
        <v>12</v>
      </c>
      <c r="N154" s="25">
        <f t="shared" si="2"/>
        <v>6.72</v>
      </c>
      <c r="O154" s="33" t="s">
        <v>25</v>
      </c>
      <c r="P154" s="11"/>
      <c r="Q154" s="6"/>
    </row>
    <row r="155" spans="1:17" s="7" customFormat="1" ht="66" customHeight="1" x14ac:dyDescent="0.25">
      <c r="A155" s="8"/>
      <c r="B155" s="9"/>
      <c r="C155" s="22" t="s">
        <v>97</v>
      </c>
      <c r="D155" s="24" t="s">
        <v>12</v>
      </c>
      <c r="E155" s="56">
        <v>1</v>
      </c>
      <c r="F155" s="24" t="s">
        <v>77</v>
      </c>
      <c r="H155" s="61">
        <v>1.4</v>
      </c>
      <c r="I155" s="48" t="s">
        <v>24</v>
      </c>
      <c r="J155" s="48">
        <v>2.4</v>
      </c>
      <c r="K155" s="48" t="s">
        <v>24</v>
      </c>
      <c r="L155" s="48">
        <v>1</v>
      </c>
      <c r="M155" s="48" t="s">
        <v>12</v>
      </c>
      <c r="N155" s="25">
        <f t="shared" si="2"/>
        <v>3.36</v>
      </c>
      <c r="O155" s="33" t="s">
        <v>25</v>
      </c>
      <c r="P155" s="11"/>
      <c r="Q155" s="6"/>
    </row>
    <row r="156" spans="1:17" s="7" customFormat="1" ht="66" customHeight="1" x14ac:dyDescent="0.25">
      <c r="A156" s="8"/>
      <c r="B156" s="9"/>
      <c r="C156" s="22" t="s">
        <v>98</v>
      </c>
      <c r="D156" s="24" t="s">
        <v>12</v>
      </c>
      <c r="E156" s="56">
        <v>1</v>
      </c>
      <c r="F156" s="24" t="s">
        <v>77</v>
      </c>
      <c r="H156" s="61">
        <v>1.4</v>
      </c>
      <c r="I156" s="48" t="s">
        <v>24</v>
      </c>
      <c r="J156" s="48">
        <v>2.4</v>
      </c>
      <c r="K156" s="48" t="s">
        <v>24</v>
      </c>
      <c r="L156" s="48">
        <v>1</v>
      </c>
      <c r="M156" s="48" t="s">
        <v>12</v>
      </c>
      <c r="N156" s="25">
        <f t="shared" si="2"/>
        <v>3.36</v>
      </c>
      <c r="O156" s="33" t="s">
        <v>25</v>
      </c>
      <c r="P156" s="11"/>
      <c r="Q156" s="6"/>
    </row>
    <row r="157" spans="1:17" s="7" customFormat="1" ht="66" customHeight="1" x14ac:dyDescent="0.25">
      <c r="A157" s="8"/>
      <c r="B157" s="9"/>
      <c r="C157" s="22" t="s">
        <v>99</v>
      </c>
      <c r="D157" s="24" t="s">
        <v>12</v>
      </c>
      <c r="E157" s="56">
        <v>1</v>
      </c>
      <c r="F157" s="24" t="s">
        <v>77</v>
      </c>
      <c r="H157" s="61">
        <v>1.4</v>
      </c>
      <c r="I157" s="48" t="s">
        <v>24</v>
      </c>
      <c r="J157" s="48">
        <v>2.4</v>
      </c>
      <c r="K157" s="48" t="s">
        <v>24</v>
      </c>
      <c r="L157" s="48">
        <v>1</v>
      </c>
      <c r="M157" s="48" t="s">
        <v>12</v>
      </c>
      <c r="N157" s="25">
        <f>H157*J157*L157</f>
        <v>3.36</v>
      </c>
      <c r="O157" s="33" t="s">
        <v>25</v>
      </c>
      <c r="P157" s="11"/>
      <c r="Q157" s="6"/>
    </row>
    <row r="158" spans="1:17" s="7" customFormat="1" ht="66" customHeight="1" x14ac:dyDescent="0.25">
      <c r="A158" s="8"/>
      <c r="B158" s="9"/>
      <c r="C158" s="22" t="s">
        <v>100</v>
      </c>
      <c r="D158" s="24" t="s">
        <v>12</v>
      </c>
      <c r="E158" s="56">
        <v>2</v>
      </c>
      <c r="F158" s="24" t="s">
        <v>77</v>
      </c>
      <c r="H158" s="61">
        <v>1.4</v>
      </c>
      <c r="I158" s="48" t="s">
        <v>24</v>
      </c>
      <c r="J158" s="48">
        <v>2.4</v>
      </c>
      <c r="K158" s="48" t="s">
        <v>24</v>
      </c>
      <c r="L158" s="48">
        <v>2</v>
      </c>
      <c r="M158" s="48" t="s">
        <v>12</v>
      </c>
      <c r="N158" s="25">
        <f>H158*J158*L158</f>
        <v>6.72</v>
      </c>
      <c r="O158" s="33" t="s">
        <v>25</v>
      </c>
      <c r="P158" s="11"/>
      <c r="Q158" s="6"/>
    </row>
    <row r="159" spans="1:17" s="7" customFormat="1" ht="66" customHeight="1" x14ac:dyDescent="0.25">
      <c r="A159" s="8"/>
      <c r="B159" s="9"/>
      <c r="C159" s="22" t="s">
        <v>101</v>
      </c>
      <c r="D159" s="24" t="s">
        <v>12</v>
      </c>
      <c r="E159" s="56">
        <v>2</v>
      </c>
      <c r="F159" s="24" t="s">
        <v>77</v>
      </c>
      <c r="H159" s="61">
        <v>1.4</v>
      </c>
      <c r="I159" s="48" t="s">
        <v>24</v>
      </c>
      <c r="J159" s="48">
        <v>2.4</v>
      </c>
      <c r="K159" s="48" t="s">
        <v>24</v>
      </c>
      <c r="L159" s="48">
        <v>2</v>
      </c>
      <c r="M159" s="48" t="s">
        <v>12</v>
      </c>
      <c r="N159" s="25">
        <f>H159*J159*L159</f>
        <v>6.72</v>
      </c>
      <c r="O159" s="33" t="s">
        <v>25</v>
      </c>
      <c r="P159" s="11"/>
      <c r="Q159" s="6"/>
    </row>
    <row r="160" spans="1:17" s="7" customFormat="1" ht="66" customHeight="1" x14ac:dyDescent="0.25">
      <c r="A160" s="8"/>
      <c r="B160" s="9"/>
      <c r="C160" s="10"/>
      <c r="H160" s="12"/>
      <c r="I160" s="62"/>
      <c r="J160" s="62"/>
      <c r="K160" s="62"/>
      <c r="L160" s="13"/>
      <c r="M160" s="63" t="s">
        <v>12</v>
      </c>
      <c r="N160" s="64">
        <f>SUM(N135:N159)</f>
        <v>153.44000000000003</v>
      </c>
      <c r="O160" s="65" t="s">
        <v>25</v>
      </c>
      <c r="P160" s="11"/>
      <c r="Q160" s="6"/>
    </row>
    <row r="161" spans="1:17" s="7" customFormat="1" ht="66" customHeight="1" x14ac:dyDescent="0.25">
      <c r="A161" s="8"/>
      <c r="B161" s="9"/>
      <c r="C161" s="52" t="s">
        <v>48</v>
      </c>
      <c r="D161" s="27" t="s">
        <v>12</v>
      </c>
      <c r="E161" s="26">
        <f>SUM(E135:E159)</f>
        <v>43</v>
      </c>
      <c r="F161" s="27" t="s">
        <v>77</v>
      </c>
      <c r="L161" s="10"/>
      <c r="P161" s="11"/>
      <c r="Q161" s="6"/>
    </row>
    <row r="162" spans="1:17" s="7" customFormat="1" ht="66" customHeight="1" x14ac:dyDescent="0.25">
      <c r="A162" s="8"/>
      <c r="P162" s="11"/>
      <c r="Q162" s="6"/>
    </row>
    <row r="163" spans="1:17" s="7" customFormat="1" ht="66" customHeight="1" x14ac:dyDescent="0.25">
      <c r="A163" s="8"/>
      <c r="B163" s="18" t="s">
        <v>102</v>
      </c>
      <c r="C163" s="19" t="str">
        <f>VLOOKUP($B163,[1]ORÇ_ANALITICO!$A$10:$K$137,2,0)</f>
        <v>05.001.0009-0</v>
      </c>
      <c r="D163" s="157" t="str">
        <f>VLOOKUP($C163,[1]ORÇ_ANALITICO!$B$10:$L$137,4,0)</f>
        <v>DEMOLICAO DE REVESTIMENTO EM AZULEJOS,CERAMICAS OU MARMORE EM PAREDE,EXCLUSIVE A CAMADA DE ASSENTAMENTO</v>
      </c>
      <c r="E163" s="157" t="e">
        <f>VLOOKUP(D163,[1]ORÇ_ANALITICO!C36:M131,2,0)</f>
        <v>#N/A</v>
      </c>
      <c r="F163" s="157" t="e">
        <f>VLOOKUP(E163,[1]ORÇ_ANALITICO!E36:N131,2,0)</f>
        <v>#N/A</v>
      </c>
      <c r="G163" s="157" t="e">
        <f>VLOOKUP(F163,[1]ORÇ_ANALITICO!F36:O131,2,0)</f>
        <v>#N/A</v>
      </c>
      <c r="H163" s="157" t="e">
        <f>VLOOKUP(G163,[1]ORÇ_ANALITICO!G36:P131,2,0)</f>
        <v>#N/A</v>
      </c>
      <c r="I163" s="157" t="e">
        <f>VLOOKUP(H163,[1]ORÇ_ANALITICO!H36:Q131,2,0)</f>
        <v>#N/A</v>
      </c>
      <c r="J163" s="157" t="e">
        <f>VLOOKUP(I163,[1]ORÇ_ANALITICO!I36:R131,2,0)</f>
        <v>#N/A</v>
      </c>
      <c r="K163" s="157" t="e">
        <f>VLOOKUP(J163,[1]ORÇ_ANALITICO!J36:S131,2,0)</f>
        <v>#N/A</v>
      </c>
      <c r="L163" s="157" t="e">
        <f>VLOOKUP(K163,[1]ORÇ_ANALITICO!K36:T131,2,0)</f>
        <v>#N/A</v>
      </c>
      <c r="M163" s="157" t="e">
        <f>VLOOKUP(L163,[1]ORÇ_ANALITICO!L36:U131,2,0)</f>
        <v>#N/A</v>
      </c>
      <c r="N163" s="157" t="e">
        <f>VLOOKUP(M163,[1]ORÇ_ANALITICO!M36:V131,2,0)</f>
        <v>#N/A</v>
      </c>
      <c r="O163" s="20" t="str">
        <f>VLOOKUP($C163,[1]ORÇ_ANALITICO!$B$10:$L$137,5,0)</f>
        <v>M2</v>
      </c>
      <c r="P163" s="20">
        <f>I195</f>
        <v>151.24500000000003</v>
      </c>
      <c r="Q163" s="6"/>
    </row>
    <row r="164" spans="1:17" s="7" customFormat="1" ht="66" customHeight="1" x14ac:dyDescent="0.25">
      <c r="A164" s="8"/>
      <c r="B164" s="9"/>
      <c r="C164" s="10"/>
      <c r="L164" s="10"/>
      <c r="P164" s="11"/>
      <c r="Q164" s="6"/>
    </row>
    <row r="165" spans="1:17" s="7" customFormat="1" ht="66" customHeight="1" x14ac:dyDescent="0.25">
      <c r="A165" s="8"/>
      <c r="B165" s="9"/>
      <c r="C165" s="22"/>
      <c r="D165" s="24"/>
      <c r="E165" s="48" t="s">
        <v>103</v>
      </c>
      <c r="F165" s="48"/>
      <c r="G165" s="56" t="s">
        <v>23</v>
      </c>
      <c r="H165" s="56"/>
      <c r="I165" s="66"/>
      <c r="J165" s="66"/>
      <c r="L165" s="10"/>
      <c r="P165" s="11"/>
      <c r="Q165" s="6"/>
    </row>
    <row r="166" spans="1:17" s="7" customFormat="1" ht="66" customHeight="1" x14ac:dyDescent="0.25">
      <c r="A166" s="8"/>
      <c r="B166" s="9"/>
      <c r="C166" s="22"/>
      <c r="D166" s="24"/>
      <c r="E166" s="48"/>
      <c r="F166" s="48"/>
      <c r="G166" s="56"/>
      <c r="H166" s="56"/>
      <c r="I166" s="66"/>
      <c r="J166" s="66"/>
      <c r="L166" s="10"/>
      <c r="P166" s="11"/>
      <c r="Q166" s="6"/>
    </row>
    <row r="167" spans="1:17" s="7" customFormat="1" ht="66" customHeight="1" x14ac:dyDescent="0.25">
      <c r="A167" s="8"/>
      <c r="B167" s="9"/>
      <c r="C167" s="22" t="s">
        <v>104</v>
      </c>
      <c r="D167" s="24" t="s">
        <v>12</v>
      </c>
      <c r="E167" s="48">
        <f>14.6</f>
        <v>14.6</v>
      </c>
      <c r="F167" s="48" t="s">
        <v>24</v>
      </c>
      <c r="G167" s="56">
        <v>1.2</v>
      </c>
      <c r="H167" s="56" t="s">
        <v>12</v>
      </c>
      <c r="I167" s="56">
        <f>E167*G167</f>
        <v>17.52</v>
      </c>
      <c r="J167" s="56" t="s">
        <v>25</v>
      </c>
      <c r="L167" s="10"/>
      <c r="P167" s="11"/>
      <c r="Q167" s="6"/>
    </row>
    <row r="168" spans="1:17" s="7" customFormat="1" ht="66" customHeight="1" x14ac:dyDescent="0.25">
      <c r="A168" s="8"/>
      <c r="B168" s="9"/>
      <c r="C168" s="22" t="s">
        <v>105</v>
      </c>
      <c r="D168" s="24" t="s">
        <v>12</v>
      </c>
      <c r="E168" s="48">
        <f>9.4</f>
        <v>9.4</v>
      </c>
      <c r="F168" s="48" t="s">
        <v>24</v>
      </c>
      <c r="G168" s="56">
        <v>1.5</v>
      </c>
      <c r="H168" s="56" t="s">
        <v>12</v>
      </c>
      <c r="I168" s="56">
        <f t="shared" ref="I168:I175" si="3">E168*G168</f>
        <v>14.100000000000001</v>
      </c>
      <c r="J168" s="56" t="s">
        <v>25</v>
      </c>
      <c r="L168" s="10"/>
      <c r="P168" s="11"/>
      <c r="Q168" s="6"/>
    </row>
    <row r="169" spans="1:17" s="7" customFormat="1" ht="66" customHeight="1" x14ac:dyDescent="0.25">
      <c r="A169" s="8"/>
      <c r="B169" s="9"/>
      <c r="C169" s="22" t="s">
        <v>106</v>
      </c>
      <c r="D169" s="24" t="s">
        <v>12</v>
      </c>
      <c r="E169" s="48">
        <f>11</f>
        <v>11</v>
      </c>
      <c r="F169" s="48" t="s">
        <v>24</v>
      </c>
      <c r="G169" s="56">
        <v>1.5</v>
      </c>
      <c r="H169" s="56" t="s">
        <v>12</v>
      </c>
      <c r="I169" s="56">
        <f t="shared" si="3"/>
        <v>16.5</v>
      </c>
      <c r="J169" s="56" t="s">
        <v>25</v>
      </c>
      <c r="L169" s="10"/>
      <c r="P169" s="11"/>
      <c r="Q169" s="6"/>
    </row>
    <row r="170" spans="1:17" s="7" customFormat="1" ht="66" customHeight="1" x14ac:dyDescent="0.25">
      <c r="A170" s="8"/>
      <c r="B170" s="9"/>
      <c r="C170" s="22" t="s">
        <v>107</v>
      </c>
      <c r="D170" s="24" t="s">
        <v>12</v>
      </c>
      <c r="E170" s="48">
        <f>10.89</f>
        <v>10.89</v>
      </c>
      <c r="F170" s="48" t="s">
        <v>24</v>
      </c>
      <c r="G170" s="56">
        <v>1.5</v>
      </c>
      <c r="H170" s="56" t="s">
        <v>12</v>
      </c>
      <c r="I170" s="56">
        <f t="shared" si="3"/>
        <v>16.335000000000001</v>
      </c>
      <c r="J170" s="56" t="s">
        <v>25</v>
      </c>
      <c r="L170" s="10"/>
      <c r="P170" s="11"/>
      <c r="Q170" s="6"/>
    </row>
    <row r="171" spans="1:17" s="7" customFormat="1" ht="66" customHeight="1" x14ac:dyDescent="0.25">
      <c r="A171" s="8"/>
      <c r="B171" s="9"/>
      <c r="C171" s="22" t="s">
        <v>108</v>
      </c>
      <c r="D171" s="24" t="s">
        <v>12</v>
      </c>
      <c r="E171" s="48">
        <f>10.1</f>
        <v>10.1</v>
      </c>
      <c r="F171" s="48" t="s">
        <v>24</v>
      </c>
      <c r="G171" s="56">
        <v>1.5</v>
      </c>
      <c r="H171" s="56" t="s">
        <v>12</v>
      </c>
      <c r="I171" s="56">
        <f t="shared" si="3"/>
        <v>15.149999999999999</v>
      </c>
      <c r="J171" s="56" t="s">
        <v>25</v>
      </c>
      <c r="L171" s="10"/>
      <c r="P171" s="11"/>
      <c r="Q171" s="6"/>
    </row>
    <row r="172" spans="1:17" s="7" customFormat="1" ht="66" customHeight="1" x14ac:dyDescent="0.25">
      <c r="A172" s="8"/>
      <c r="B172" s="9"/>
      <c r="C172" s="22" t="s">
        <v>109</v>
      </c>
      <c r="D172" s="24" t="s">
        <v>12</v>
      </c>
      <c r="E172" s="48">
        <f>11.6</f>
        <v>11.6</v>
      </c>
      <c r="F172" s="48" t="s">
        <v>24</v>
      </c>
      <c r="G172" s="56">
        <v>1.5</v>
      </c>
      <c r="H172" s="56" t="s">
        <v>12</v>
      </c>
      <c r="I172" s="56">
        <f t="shared" si="3"/>
        <v>17.399999999999999</v>
      </c>
      <c r="J172" s="56" t="s">
        <v>25</v>
      </c>
      <c r="L172" s="10"/>
      <c r="P172" s="11"/>
      <c r="Q172" s="6"/>
    </row>
    <row r="173" spans="1:17" s="7" customFormat="1" ht="66" customHeight="1" x14ac:dyDescent="0.25">
      <c r="A173" s="8"/>
      <c r="B173" s="9"/>
      <c r="C173" s="22" t="s">
        <v>110</v>
      </c>
      <c r="D173" s="24" t="s">
        <v>12</v>
      </c>
      <c r="E173" s="48">
        <f>11.2</f>
        <v>11.2</v>
      </c>
      <c r="F173" s="48" t="s">
        <v>24</v>
      </c>
      <c r="G173" s="56">
        <v>1.5</v>
      </c>
      <c r="H173" s="56" t="s">
        <v>12</v>
      </c>
      <c r="I173" s="56">
        <f t="shared" si="3"/>
        <v>16.799999999999997</v>
      </c>
      <c r="J173" s="56" t="s">
        <v>25</v>
      </c>
      <c r="L173" s="10"/>
      <c r="P173" s="11"/>
      <c r="Q173" s="6"/>
    </row>
    <row r="174" spans="1:17" s="7" customFormat="1" ht="66" customHeight="1" x14ac:dyDescent="0.25">
      <c r="A174" s="8"/>
      <c r="B174" s="9"/>
      <c r="C174" s="22" t="s">
        <v>71</v>
      </c>
      <c r="D174" s="24" t="s">
        <v>12</v>
      </c>
      <c r="E174" s="48">
        <f>18.7</f>
        <v>18.7</v>
      </c>
      <c r="F174" s="48" t="s">
        <v>24</v>
      </c>
      <c r="G174" s="56">
        <v>1.5</v>
      </c>
      <c r="H174" s="56" t="s">
        <v>12</v>
      </c>
      <c r="I174" s="56">
        <f t="shared" si="3"/>
        <v>28.049999999999997</v>
      </c>
      <c r="J174" s="56" t="s">
        <v>25</v>
      </c>
      <c r="L174" s="10"/>
      <c r="P174" s="11"/>
      <c r="Q174" s="6"/>
    </row>
    <row r="175" spans="1:17" s="7" customFormat="1" ht="66" customHeight="1" x14ac:dyDescent="0.25">
      <c r="A175" s="8"/>
      <c r="B175" s="9"/>
      <c r="C175" s="22" t="s">
        <v>72</v>
      </c>
      <c r="D175" s="24" t="s">
        <v>12</v>
      </c>
      <c r="E175" s="48">
        <f>15.7</f>
        <v>15.7</v>
      </c>
      <c r="F175" s="48" t="s">
        <v>24</v>
      </c>
      <c r="G175" s="56">
        <v>1.5</v>
      </c>
      <c r="H175" s="56" t="s">
        <v>12</v>
      </c>
      <c r="I175" s="56">
        <f t="shared" si="3"/>
        <v>23.549999999999997</v>
      </c>
      <c r="J175" s="56" t="s">
        <v>25</v>
      </c>
      <c r="L175" s="10"/>
      <c r="P175" s="11"/>
      <c r="Q175" s="6"/>
    </row>
    <row r="176" spans="1:17" s="7" customFormat="1" ht="66" customHeight="1" x14ac:dyDescent="0.25">
      <c r="A176" s="8"/>
      <c r="B176" s="9"/>
      <c r="C176" s="22"/>
      <c r="D176" s="24"/>
      <c r="E176" s="48"/>
      <c r="F176" s="48"/>
      <c r="G176" s="56"/>
      <c r="H176" s="56"/>
      <c r="I176" s="56"/>
      <c r="J176" s="56"/>
      <c r="L176" s="10"/>
      <c r="P176" s="11"/>
      <c r="Q176" s="6"/>
    </row>
    <row r="177" spans="1:17" s="7" customFormat="1" ht="66" customHeight="1" x14ac:dyDescent="0.25">
      <c r="A177" s="8"/>
      <c r="B177" s="9"/>
      <c r="C177" s="22"/>
      <c r="D177" s="24"/>
      <c r="E177" s="48"/>
      <c r="F177" s="48"/>
      <c r="G177" s="56" t="s">
        <v>48</v>
      </c>
      <c r="H177" s="56" t="s">
        <v>12</v>
      </c>
      <c r="I177" s="56">
        <f>SUM(I167:I175)</f>
        <v>165.40500000000003</v>
      </c>
      <c r="J177" s="56" t="s">
        <v>25</v>
      </c>
      <c r="L177" s="10"/>
      <c r="P177" s="11"/>
      <c r="Q177" s="6"/>
    </row>
    <row r="178" spans="1:17" s="7" customFormat="1" ht="66" customHeight="1" x14ac:dyDescent="0.25">
      <c r="A178" s="8"/>
      <c r="B178" s="9"/>
      <c r="C178" s="22"/>
      <c r="D178" s="24"/>
      <c r="E178" s="48"/>
      <c r="F178" s="48"/>
      <c r="G178" s="56"/>
      <c r="H178" s="56"/>
      <c r="I178" s="56"/>
      <c r="J178" s="56"/>
      <c r="L178" s="10"/>
      <c r="P178" s="11"/>
      <c r="Q178" s="6"/>
    </row>
    <row r="179" spans="1:17" s="7" customFormat="1" ht="66" customHeight="1" x14ac:dyDescent="0.25">
      <c r="A179" s="8"/>
      <c r="B179" s="9"/>
      <c r="C179" s="22" t="s">
        <v>111</v>
      </c>
      <c r="D179" s="24"/>
      <c r="E179" s="48" t="s">
        <v>103</v>
      </c>
      <c r="F179" s="48"/>
      <c r="G179" s="56" t="s">
        <v>23</v>
      </c>
      <c r="H179" s="56"/>
      <c r="I179" s="66"/>
      <c r="J179" s="66"/>
      <c r="L179" s="10"/>
      <c r="P179" s="11"/>
      <c r="Q179" s="6"/>
    </row>
    <row r="180" spans="1:17" s="7" customFormat="1" ht="66" customHeight="1" x14ac:dyDescent="0.25">
      <c r="A180" s="8"/>
      <c r="B180" s="9"/>
      <c r="C180" s="22"/>
      <c r="D180" s="24"/>
      <c r="E180" s="48"/>
      <c r="F180" s="48"/>
      <c r="G180" s="56"/>
      <c r="H180" s="56"/>
      <c r="I180" s="66"/>
      <c r="J180" s="66"/>
      <c r="L180" s="10"/>
      <c r="P180" s="11"/>
      <c r="Q180" s="6"/>
    </row>
    <row r="181" spans="1:17" s="7" customFormat="1" ht="66" customHeight="1" x14ac:dyDescent="0.25">
      <c r="A181" s="8"/>
      <c r="B181" s="9"/>
      <c r="C181" s="22" t="s">
        <v>112</v>
      </c>
      <c r="D181" s="24" t="s">
        <v>12</v>
      </c>
      <c r="E181" s="48">
        <f>0.8</f>
        <v>0.8</v>
      </c>
      <c r="F181" s="48" t="s">
        <v>24</v>
      </c>
      <c r="G181" s="56">
        <v>1.2</v>
      </c>
      <c r="H181" s="56" t="s">
        <v>12</v>
      </c>
      <c r="I181" s="56">
        <f>E181*G181</f>
        <v>0.96</v>
      </c>
      <c r="J181" s="56" t="s">
        <v>25</v>
      </c>
      <c r="L181" s="10"/>
      <c r="P181" s="11"/>
      <c r="Q181" s="6"/>
    </row>
    <row r="182" spans="1:17" s="7" customFormat="1" ht="66" customHeight="1" x14ac:dyDescent="0.25">
      <c r="A182" s="8"/>
      <c r="B182" s="9"/>
      <c r="C182" s="22" t="s">
        <v>113</v>
      </c>
      <c r="D182" s="24" t="s">
        <v>12</v>
      </c>
      <c r="E182" s="48">
        <f t="shared" ref="E182:E187" si="4">1.2</f>
        <v>1.2</v>
      </c>
      <c r="F182" s="48" t="s">
        <v>24</v>
      </c>
      <c r="G182" s="56">
        <v>1.5</v>
      </c>
      <c r="H182" s="56" t="s">
        <v>12</v>
      </c>
      <c r="I182" s="56">
        <f t="shared" ref="I182:I189" si="5">E182*G182</f>
        <v>1.7999999999999998</v>
      </c>
      <c r="J182" s="56" t="s">
        <v>25</v>
      </c>
      <c r="L182" s="10"/>
      <c r="P182" s="11"/>
      <c r="Q182" s="6"/>
    </row>
    <row r="183" spans="1:17" s="7" customFormat="1" ht="66" customHeight="1" x14ac:dyDescent="0.25">
      <c r="A183" s="8"/>
      <c r="B183" s="9"/>
      <c r="C183" s="22" t="s">
        <v>114</v>
      </c>
      <c r="D183" s="24" t="s">
        <v>12</v>
      </c>
      <c r="E183" s="48">
        <f t="shared" si="4"/>
        <v>1.2</v>
      </c>
      <c r="F183" s="48" t="s">
        <v>24</v>
      </c>
      <c r="G183" s="56">
        <v>1.5</v>
      </c>
      <c r="H183" s="56" t="s">
        <v>12</v>
      </c>
      <c r="I183" s="56">
        <f t="shared" si="5"/>
        <v>1.7999999999999998</v>
      </c>
      <c r="J183" s="56" t="s">
        <v>25</v>
      </c>
      <c r="L183" s="10"/>
      <c r="P183" s="11"/>
      <c r="Q183" s="6"/>
    </row>
    <row r="184" spans="1:17" s="7" customFormat="1" ht="66" customHeight="1" x14ac:dyDescent="0.25">
      <c r="A184" s="8"/>
      <c r="B184" s="9"/>
      <c r="C184" s="22" t="s">
        <v>115</v>
      </c>
      <c r="D184" s="24" t="s">
        <v>12</v>
      </c>
      <c r="E184" s="48">
        <f t="shared" si="4"/>
        <v>1.2</v>
      </c>
      <c r="F184" s="48" t="s">
        <v>24</v>
      </c>
      <c r="G184" s="56">
        <v>1.5</v>
      </c>
      <c r="H184" s="56" t="s">
        <v>12</v>
      </c>
      <c r="I184" s="56">
        <f t="shared" si="5"/>
        <v>1.7999999999999998</v>
      </c>
      <c r="J184" s="56" t="s">
        <v>25</v>
      </c>
      <c r="L184" s="10"/>
      <c r="P184" s="11"/>
      <c r="Q184" s="6"/>
    </row>
    <row r="185" spans="1:17" s="7" customFormat="1" ht="66" customHeight="1" x14ac:dyDescent="0.25">
      <c r="A185" s="8"/>
      <c r="B185" s="9"/>
      <c r="C185" s="22" t="s">
        <v>116</v>
      </c>
      <c r="D185" s="24" t="s">
        <v>12</v>
      </c>
      <c r="E185" s="48">
        <f t="shared" si="4"/>
        <v>1.2</v>
      </c>
      <c r="F185" s="48" t="s">
        <v>24</v>
      </c>
      <c r="G185" s="56">
        <v>1.5</v>
      </c>
      <c r="H185" s="56" t="s">
        <v>12</v>
      </c>
      <c r="I185" s="56">
        <f t="shared" si="5"/>
        <v>1.7999999999999998</v>
      </c>
      <c r="J185" s="56" t="s">
        <v>25</v>
      </c>
      <c r="L185" s="10"/>
      <c r="P185" s="11"/>
      <c r="Q185" s="6"/>
    </row>
    <row r="186" spans="1:17" s="7" customFormat="1" ht="66" customHeight="1" x14ac:dyDescent="0.25">
      <c r="A186" s="8"/>
      <c r="B186" s="9"/>
      <c r="C186" s="22" t="s">
        <v>117</v>
      </c>
      <c r="D186" s="24" t="s">
        <v>12</v>
      </c>
      <c r="E186" s="48">
        <f t="shared" si="4"/>
        <v>1.2</v>
      </c>
      <c r="F186" s="48" t="s">
        <v>24</v>
      </c>
      <c r="G186" s="56">
        <v>1.5</v>
      </c>
      <c r="H186" s="56" t="s">
        <v>12</v>
      </c>
      <c r="I186" s="56">
        <f t="shared" si="5"/>
        <v>1.7999999999999998</v>
      </c>
      <c r="J186" s="56" t="s">
        <v>25</v>
      </c>
      <c r="L186" s="10"/>
      <c r="P186" s="11"/>
      <c r="Q186" s="6"/>
    </row>
    <row r="187" spans="1:17" s="7" customFormat="1" ht="66" customHeight="1" x14ac:dyDescent="0.25">
      <c r="A187" s="8"/>
      <c r="B187" s="9"/>
      <c r="C187" s="22" t="s">
        <v>118</v>
      </c>
      <c r="D187" s="24" t="s">
        <v>12</v>
      </c>
      <c r="E187" s="48">
        <f t="shared" si="4"/>
        <v>1.2</v>
      </c>
      <c r="F187" s="48" t="s">
        <v>24</v>
      </c>
      <c r="G187" s="56">
        <v>1.5</v>
      </c>
      <c r="H187" s="56" t="s">
        <v>12</v>
      </c>
      <c r="I187" s="56">
        <f t="shared" si="5"/>
        <v>1.7999999999999998</v>
      </c>
      <c r="J187" s="56" t="s">
        <v>25</v>
      </c>
      <c r="L187" s="10"/>
      <c r="P187" s="11"/>
      <c r="Q187" s="6"/>
    </row>
    <row r="188" spans="1:17" s="7" customFormat="1" ht="66" customHeight="1" x14ac:dyDescent="0.25">
      <c r="A188" s="8"/>
      <c r="B188" s="9"/>
      <c r="C188" s="22" t="s">
        <v>119</v>
      </c>
      <c r="D188" s="24" t="s">
        <v>12</v>
      </c>
      <c r="E188" s="48">
        <f>0.8</f>
        <v>0.8</v>
      </c>
      <c r="F188" s="48" t="s">
        <v>24</v>
      </c>
      <c r="G188" s="56">
        <v>1.5</v>
      </c>
      <c r="H188" s="56" t="s">
        <v>12</v>
      </c>
      <c r="I188" s="56">
        <f t="shared" si="5"/>
        <v>1.2000000000000002</v>
      </c>
      <c r="J188" s="56" t="s">
        <v>25</v>
      </c>
      <c r="L188" s="10"/>
      <c r="P188" s="11"/>
      <c r="Q188" s="6"/>
    </row>
    <row r="189" spans="1:17" s="7" customFormat="1" ht="66" customHeight="1" x14ac:dyDescent="0.25">
      <c r="A189" s="8"/>
      <c r="B189" s="9"/>
      <c r="C189" s="22" t="s">
        <v>120</v>
      </c>
      <c r="D189" s="24" t="s">
        <v>12</v>
      </c>
      <c r="E189" s="48">
        <f>0.8</f>
        <v>0.8</v>
      </c>
      <c r="F189" s="48" t="s">
        <v>24</v>
      </c>
      <c r="G189" s="56">
        <v>1.5</v>
      </c>
      <c r="H189" s="56" t="s">
        <v>12</v>
      </c>
      <c r="I189" s="56">
        <f t="shared" si="5"/>
        <v>1.2000000000000002</v>
      </c>
      <c r="J189" s="56" t="s">
        <v>25</v>
      </c>
      <c r="L189" s="10"/>
      <c r="P189" s="11"/>
      <c r="Q189" s="6"/>
    </row>
    <row r="190" spans="1:17" s="7" customFormat="1" ht="66" customHeight="1" x14ac:dyDescent="0.25">
      <c r="A190" s="8"/>
      <c r="B190" s="9"/>
      <c r="C190" s="22"/>
      <c r="D190" s="24"/>
      <c r="E190" s="48"/>
      <c r="F190" s="48"/>
      <c r="G190" s="56"/>
      <c r="H190" s="56"/>
      <c r="I190" s="56"/>
      <c r="J190" s="56"/>
      <c r="L190" s="10"/>
      <c r="P190" s="11"/>
      <c r="Q190" s="6"/>
    </row>
    <row r="191" spans="1:17" s="7" customFormat="1" ht="66" customHeight="1" x14ac:dyDescent="0.25">
      <c r="A191" s="8"/>
      <c r="B191" s="9"/>
      <c r="C191" s="22"/>
      <c r="D191" s="24"/>
      <c r="E191" s="48"/>
      <c r="F191" s="48"/>
      <c r="G191" s="56" t="s">
        <v>48</v>
      </c>
      <c r="H191" s="56" t="s">
        <v>12</v>
      </c>
      <c r="I191" s="56">
        <f>SUM(I181:I189)</f>
        <v>14.16</v>
      </c>
      <c r="J191" s="56" t="s">
        <v>25</v>
      </c>
      <c r="L191" s="10"/>
      <c r="P191" s="11"/>
      <c r="Q191" s="6"/>
    </row>
    <row r="192" spans="1:17" s="7" customFormat="1" ht="66" customHeight="1" x14ac:dyDescent="0.25">
      <c r="A192" s="8"/>
      <c r="B192" s="9"/>
      <c r="C192" s="22"/>
      <c r="D192" s="24"/>
      <c r="E192" s="48"/>
      <c r="F192" s="48"/>
      <c r="G192" s="56"/>
      <c r="H192" s="56"/>
      <c r="I192" s="56"/>
      <c r="J192" s="56"/>
      <c r="L192" s="10"/>
      <c r="P192" s="11"/>
      <c r="Q192" s="6"/>
    </row>
    <row r="193" spans="1:17" s="7" customFormat="1" ht="66" customHeight="1" x14ac:dyDescent="0.25">
      <c r="A193" s="8"/>
      <c r="B193" s="9"/>
      <c r="C193" s="22"/>
      <c r="D193" s="24"/>
      <c r="E193" s="48" t="s">
        <v>57</v>
      </c>
      <c r="F193" s="48"/>
      <c r="G193" s="56" t="s">
        <v>111</v>
      </c>
      <c r="H193" s="56"/>
      <c r="I193" s="56"/>
      <c r="J193" s="56"/>
      <c r="L193" s="10"/>
      <c r="P193" s="11"/>
      <c r="Q193" s="6"/>
    </row>
    <row r="194" spans="1:17" s="7" customFormat="1" ht="66" customHeight="1" x14ac:dyDescent="0.25">
      <c r="A194" s="8"/>
      <c r="B194" s="9"/>
      <c r="C194" s="22"/>
      <c r="D194" s="24"/>
      <c r="E194" s="48"/>
      <c r="F194" s="48"/>
      <c r="G194" s="56"/>
      <c r="H194" s="56"/>
      <c r="I194" s="56"/>
      <c r="J194" s="56"/>
      <c r="L194" s="10"/>
      <c r="P194" s="11"/>
      <c r="Q194" s="6"/>
    </row>
    <row r="195" spans="1:17" s="7" customFormat="1" ht="66" customHeight="1" x14ac:dyDescent="0.25">
      <c r="A195" s="8"/>
      <c r="B195" s="9"/>
      <c r="C195" s="24" t="s">
        <v>48</v>
      </c>
      <c r="D195" s="51" t="s">
        <v>12</v>
      </c>
      <c r="E195" s="56">
        <f>I177</f>
        <v>165.40500000000003</v>
      </c>
      <c r="F195" s="51" t="s">
        <v>121</v>
      </c>
      <c r="G195" s="56">
        <f>I191</f>
        <v>14.16</v>
      </c>
      <c r="H195" s="48" t="s">
        <v>12</v>
      </c>
      <c r="I195" s="26">
        <f>E195-G195</f>
        <v>151.24500000000003</v>
      </c>
      <c r="J195" s="26" t="s">
        <v>25</v>
      </c>
      <c r="L195" s="10"/>
      <c r="P195" s="11"/>
      <c r="Q195" s="6"/>
    </row>
    <row r="196" spans="1:17" s="7" customFormat="1" ht="66" customHeight="1" x14ac:dyDescent="0.25">
      <c r="A196" s="8"/>
      <c r="P196" s="11"/>
      <c r="Q196" s="6"/>
    </row>
    <row r="197" spans="1:17" s="7" customFormat="1" ht="66" customHeight="1" x14ac:dyDescent="0.25">
      <c r="A197" s="8"/>
      <c r="P197" s="11"/>
      <c r="Q197" s="6"/>
    </row>
    <row r="198" spans="1:17" s="7" customFormat="1" ht="66" customHeight="1" x14ac:dyDescent="0.25">
      <c r="A198" s="8"/>
      <c r="B198" s="18" t="s">
        <v>122</v>
      </c>
      <c r="C198" s="19">
        <f>VLOOKUP($B198,[1]ORÇ_ANALITICO!$A$10:$K$137,2,0)</f>
        <v>97633</v>
      </c>
      <c r="D198" s="157" t="str">
        <f>VLOOKUP($C198,[1]ORÇ_ANALITICO!$B$10:$L$137,4,0)</f>
        <v>TE DUPLA CURVA EM BRONZE/LATÃO, DN 3/4" X 22 MM X 3/4", SEM ANEL DE SOLDA, ROSCA F X BOLSA X ROSCA F, INSTALADO EM RAMAL E SUB-RAMAL DE HIDRÁULICA PREDIAL - FORNECIMENTO E INSTALAÇÃO. AF_04/2022</v>
      </c>
      <c r="E198" s="157" t="e">
        <f>VLOOKUP(D198,[1]ORÇ_ANALITICO!C72:M166,2,0)</f>
        <v>#N/A</v>
      </c>
      <c r="F198" s="157" t="e">
        <f>VLOOKUP(E198,[1]ORÇ_ANALITICO!E72:N166,2,0)</f>
        <v>#N/A</v>
      </c>
      <c r="G198" s="157" t="e">
        <f>VLOOKUP(F198,[1]ORÇ_ANALITICO!F72:O166,2,0)</f>
        <v>#N/A</v>
      </c>
      <c r="H198" s="157" t="e">
        <f>VLOOKUP(G198,[1]ORÇ_ANALITICO!G72:P166,2,0)</f>
        <v>#N/A</v>
      </c>
      <c r="I198" s="157" t="e">
        <f>VLOOKUP(H198,[1]ORÇ_ANALITICO!H72:Q166,2,0)</f>
        <v>#N/A</v>
      </c>
      <c r="J198" s="157" t="e">
        <f>VLOOKUP(I198,[1]ORÇ_ANALITICO!I72:R166,2,0)</f>
        <v>#N/A</v>
      </c>
      <c r="K198" s="157" t="e">
        <f>VLOOKUP(J198,[1]ORÇ_ANALITICO!J72:S166,2,0)</f>
        <v>#N/A</v>
      </c>
      <c r="L198" s="157" t="e">
        <f>VLOOKUP(K198,[1]ORÇ_ANALITICO!K72:T166,2,0)</f>
        <v>#N/A</v>
      </c>
      <c r="M198" s="157" t="e">
        <f>VLOOKUP(L198,[1]ORÇ_ANALITICO!L72:U166,2,0)</f>
        <v>#N/A</v>
      </c>
      <c r="N198" s="157" t="e">
        <f>VLOOKUP(M198,[1]ORÇ_ANALITICO!M72:V166,2,0)</f>
        <v>#N/A</v>
      </c>
      <c r="O198" s="20" t="str">
        <f>VLOOKUP($C198,[1]ORÇ_ANALITICO!$B$10:$L$137,5,0)</f>
        <v>UN</v>
      </c>
      <c r="P198" s="20">
        <f>J215</f>
        <v>5.7792000000000012</v>
      </c>
      <c r="Q198" s="6"/>
    </row>
    <row r="199" spans="1:17" s="7" customFormat="1" ht="66" customHeight="1" x14ac:dyDescent="0.25">
      <c r="A199" s="8"/>
      <c r="B199" s="9"/>
      <c r="C199" s="10"/>
      <c r="L199" s="10"/>
      <c r="P199" s="11"/>
      <c r="Q199" s="6"/>
    </row>
    <row r="200" spans="1:17" s="7" customFormat="1" ht="66" customHeight="1" x14ac:dyDescent="0.25">
      <c r="A200" s="8"/>
      <c r="B200" s="9"/>
      <c r="C200" s="22"/>
      <c r="D200" s="24"/>
      <c r="E200" s="48" t="s">
        <v>57</v>
      </c>
      <c r="F200" s="48"/>
      <c r="G200" s="49"/>
      <c r="H200" s="49"/>
      <c r="I200" s="49"/>
      <c r="J200" s="49"/>
      <c r="L200" s="10"/>
      <c r="P200" s="11"/>
      <c r="Q200" s="6"/>
    </row>
    <row r="201" spans="1:17" s="7" customFormat="1" ht="66" customHeight="1" x14ac:dyDescent="0.25">
      <c r="A201" s="8"/>
      <c r="B201" s="9"/>
      <c r="C201" s="22"/>
      <c r="D201" s="24"/>
      <c r="E201" s="48"/>
      <c r="F201" s="48"/>
      <c r="G201" s="49"/>
      <c r="H201" s="49"/>
      <c r="I201" s="49"/>
      <c r="J201" s="49"/>
      <c r="L201" s="10"/>
      <c r="P201" s="11"/>
      <c r="Q201" s="6"/>
    </row>
    <row r="202" spans="1:17" s="7" customFormat="1" ht="66" customHeight="1" x14ac:dyDescent="0.25">
      <c r="A202" s="8"/>
      <c r="B202" s="9"/>
      <c r="C202" s="22" t="s">
        <v>59</v>
      </c>
      <c r="D202" s="24" t="s">
        <v>12</v>
      </c>
      <c r="E202" s="48">
        <v>41.1</v>
      </c>
      <c r="F202" s="48" t="s">
        <v>25</v>
      </c>
      <c r="G202" s="49"/>
      <c r="H202" s="49"/>
      <c r="I202" s="49"/>
      <c r="J202" s="49"/>
      <c r="L202" s="10"/>
      <c r="P202" s="11"/>
      <c r="Q202" s="6"/>
    </row>
    <row r="203" spans="1:17" s="7" customFormat="1" ht="66" customHeight="1" x14ac:dyDescent="0.25">
      <c r="A203" s="8"/>
      <c r="B203" s="9"/>
      <c r="C203" s="22" t="s">
        <v>123</v>
      </c>
      <c r="D203" s="24" t="s">
        <v>12</v>
      </c>
      <c r="E203" s="48">
        <v>5.26</v>
      </c>
      <c r="F203" s="48" t="s">
        <v>25</v>
      </c>
      <c r="G203" s="49"/>
      <c r="H203" s="49"/>
      <c r="I203" s="49"/>
      <c r="J203" s="49"/>
      <c r="L203" s="10"/>
      <c r="P203" s="11"/>
      <c r="Q203" s="6"/>
    </row>
    <row r="204" spans="1:17" s="7" customFormat="1" ht="66" customHeight="1" x14ac:dyDescent="0.25">
      <c r="A204" s="8"/>
      <c r="B204" s="9"/>
      <c r="C204" s="22" t="s">
        <v>106</v>
      </c>
      <c r="D204" s="24" t="s">
        <v>12</v>
      </c>
      <c r="E204" s="48">
        <v>7.5</v>
      </c>
      <c r="F204" s="48" t="s">
        <v>25</v>
      </c>
      <c r="G204" s="49"/>
      <c r="H204" s="49"/>
      <c r="I204" s="49"/>
      <c r="J204" s="49"/>
      <c r="L204" s="10"/>
      <c r="P204" s="11"/>
      <c r="Q204" s="6"/>
    </row>
    <row r="205" spans="1:17" s="7" customFormat="1" ht="66" customHeight="1" x14ac:dyDescent="0.25">
      <c r="A205" s="8"/>
      <c r="B205" s="9"/>
      <c r="C205" s="22" t="s">
        <v>107</v>
      </c>
      <c r="D205" s="24" t="s">
        <v>12</v>
      </c>
      <c r="E205" s="48">
        <v>7.41</v>
      </c>
      <c r="F205" s="48" t="s">
        <v>25</v>
      </c>
      <c r="G205" s="49"/>
      <c r="H205" s="49"/>
      <c r="I205" s="49"/>
      <c r="J205" s="49"/>
      <c r="L205" s="10"/>
      <c r="P205" s="11"/>
      <c r="Q205" s="6"/>
    </row>
    <row r="206" spans="1:17" s="7" customFormat="1" ht="66" customHeight="1" x14ac:dyDescent="0.25">
      <c r="A206" s="8"/>
      <c r="B206" s="9"/>
      <c r="C206" s="22" t="s">
        <v>124</v>
      </c>
      <c r="D206" s="24" t="s">
        <v>12</v>
      </c>
      <c r="E206" s="48">
        <v>29.88</v>
      </c>
      <c r="F206" s="48" t="s">
        <v>25</v>
      </c>
      <c r="G206" s="49"/>
      <c r="H206" s="49"/>
      <c r="I206" s="49"/>
      <c r="J206" s="49"/>
      <c r="L206" s="10"/>
      <c r="P206" s="11"/>
      <c r="Q206" s="6"/>
    </row>
    <row r="207" spans="1:17" s="7" customFormat="1" ht="66" customHeight="1" x14ac:dyDescent="0.25">
      <c r="A207" s="8"/>
      <c r="B207" s="9"/>
      <c r="C207" s="22" t="s">
        <v>104</v>
      </c>
      <c r="D207" s="24" t="s">
        <v>12</v>
      </c>
      <c r="E207" s="48">
        <v>13.07</v>
      </c>
      <c r="F207" s="48" t="s">
        <v>25</v>
      </c>
      <c r="G207" s="49"/>
      <c r="H207" s="49"/>
      <c r="I207" s="49"/>
      <c r="J207" s="49"/>
      <c r="L207" s="10"/>
      <c r="P207" s="11"/>
      <c r="Q207" s="6"/>
    </row>
    <row r="208" spans="1:17" s="7" customFormat="1" ht="66" customHeight="1" x14ac:dyDescent="0.25">
      <c r="A208" s="8"/>
      <c r="B208" s="9"/>
      <c r="C208" s="22" t="s">
        <v>67</v>
      </c>
      <c r="D208" s="24" t="s">
        <v>12</v>
      </c>
      <c r="E208" s="48">
        <v>5.98</v>
      </c>
      <c r="F208" s="48" t="s">
        <v>25</v>
      </c>
      <c r="G208" s="49"/>
      <c r="H208" s="49"/>
      <c r="I208" s="49"/>
      <c r="J208" s="49"/>
      <c r="L208" s="10"/>
      <c r="P208" s="11"/>
      <c r="Q208" s="6"/>
    </row>
    <row r="209" spans="1:17" s="7" customFormat="1" ht="66" customHeight="1" x14ac:dyDescent="0.25">
      <c r="A209" s="8"/>
      <c r="B209" s="9"/>
      <c r="C209" s="22" t="s">
        <v>109</v>
      </c>
      <c r="D209" s="24" t="s">
        <v>12</v>
      </c>
      <c r="E209" s="48">
        <v>8.41</v>
      </c>
      <c r="F209" s="48" t="s">
        <v>25</v>
      </c>
      <c r="G209" s="49"/>
      <c r="H209" s="49"/>
      <c r="I209" s="49"/>
      <c r="J209" s="49"/>
      <c r="L209" s="10"/>
      <c r="P209" s="11"/>
      <c r="Q209" s="6"/>
    </row>
    <row r="210" spans="1:17" s="7" customFormat="1" ht="66" customHeight="1" x14ac:dyDescent="0.25">
      <c r="A210" s="8"/>
      <c r="B210" s="9"/>
      <c r="C210" s="22" t="s">
        <v>110</v>
      </c>
      <c r="D210" s="24" t="s">
        <v>12</v>
      </c>
      <c r="E210" s="48">
        <v>7.82</v>
      </c>
      <c r="F210" s="48" t="s">
        <v>25</v>
      </c>
      <c r="G210" s="49"/>
      <c r="H210" s="49"/>
      <c r="I210" s="49"/>
      <c r="J210" s="49"/>
      <c r="L210" s="10"/>
      <c r="P210" s="11"/>
      <c r="Q210" s="6"/>
    </row>
    <row r="211" spans="1:17" s="7" customFormat="1" ht="66" customHeight="1" x14ac:dyDescent="0.25">
      <c r="A211" s="8"/>
      <c r="B211" s="9"/>
      <c r="C211" s="22" t="s">
        <v>71</v>
      </c>
      <c r="D211" s="24" t="s">
        <v>12</v>
      </c>
      <c r="E211" s="48">
        <v>20.27</v>
      </c>
      <c r="F211" s="48" t="s">
        <v>25</v>
      </c>
      <c r="G211" s="49"/>
      <c r="H211" s="49"/>
      <c r="I211" s="49"/>
      <c r="J211" s="49"/>
      <c r="L211" s="10"/>
      <c r="P211" s="11"/>
      <c r="Q211" s="6"/>
    </row>
    <row r="212" spans="1:17" s="7" customFormat="1" ht="66" customHeight="1" x14ac:dyDescent="0.25">
      <c r="A212" s="8"/>
      <c r="B212" s="9"/>
      <c r="C212" s="22" t="s">
        <v>72</v>
      </c>
      <c r="D212" s="24" t="s">
        <v>12</v>
      </c>
      <c r="E212" s="48">
        <v>12.24</v>
      </c>
      <c r="F212" s="48" t="s">
        <v>25</v>
      </c>
      <c r="G212" s="49"/>
      <c r="H212" s="49"/>
      <c r="I212" s="49"/>
      <c r="J212" s="49"/>
      <c r="L212" s="10"/>
      <c r="P212" s="11"/>
      <c r="Q212" s="6"/>
    </row>
    <row r="213" spans="1:17" s="7" customFormat="1" ht="66" customHeight="1" x14ac:dyDescent="0.25">
      <c r="A213" s="8"/>
      <c r="B213" s="9"/>
      <c r="C213" s="22" t="s">
        <v>125</v>
      </c>
      <c r="D213" s="24" t="s">
        <v>12</v>
      </c>
      <c r="E213" s="48">
        <v>33.700000000000003</v>
      </c>
      <c r="F213" s="48" t="s">
        <v>25</v>
      </c>
      <c r="G213" s="49"/>
      <c r="H213" s="49"/>
      <c r="I213" s="49"/>
      <c r="J213" s="49"/>
      <c r="L213" s="10"/>
      <c r="P213" s="11"/>
      <c r="Q213" s="6"/>
    </row>
    <row r="214" spans="1:17" s="7" customFormat="1" ht="66" customHeight="1" x14ac:dyDescent="0.25">
      <c r="A214" s="8"/>
      <c r="B214" s="9"/>
      <c r="C214" s="10"/>
      <c r="L214" s="10"/>
      <c r="P214" s="11"/>
      <c r="Q214" s="6"/>
    </row>
    <row r="215" spans="1:17" s="7" customFormat="1" ht="66" customHeight="1" x14ac:dyDescent="0.25">
      <c r="A215" s="8"/>
      <c r="B215" s="9"/>
      <c r="C215" s="27" t="s">
        <v>48</v>
      </c>
      <c r="D215" s="27" t="s">
        <v>12</v>
      </c>
      <c r="E215" s="26">
        <f>SUM(E202:E213)</f>
        <v>192.64000000000004</v>
      </c>
      <c r="F215" s="26" t="s">
        <v>25</v>
      </c>
      <c r="G215" s="48" t="s">
        <v>24</v>
      </c>
      <c r="H215" s="50">
        <f>30/1000</f>
        <v>0.03</v>
      </c>
      <c r="I215" s="56" t="s">
        <v>12</v>
      </c>
      <c r="J215" s="56">
        <f>E215*H215</f>
        <v>5.7792000000000012</v>
      </c>
      <c r="K215" s="56" t="s">
        <v>126</v>
      </c>
      <c r="L215" s="10"/>
      <c r="P215" s="11"/>
      <c r="Q215" s="6"/>
    </row>
    <row r="216" spans="1:17" s="7" customFormat="1" ht="66" customHeight="1" x14ac:dyDescent="0.25">
      <c r="A216" s="8"/>
      <c r="P216" s="11"/>
      <c r="Q216" s="6"/>
    </row>
    <row r="217" spans="1:17" s="7" customFormat="1" ht="66" customHeight="1" x14ac:dyDescent="0.25">
      <c r="A217" s="8"/>
      <c r="P217" s="11"/>
      <c r="Q217" s="6"/>
    </row>
    <row r="218" spans="1:17" s="7" customFormat="1" ht="66" customHeight="1" x14ac:dyDescent="0.25">
      <c r="A218" s="8"/>
      <c r="B218" s="18" t="s">
        <v>127</v>
      </c>
      <c r="C218" s="19">
        <f>VLOOKUP($B218,[1]ORÇ_ANALITICO!$A$10:$K$137,2,0)</f>
        <v>97631</v>
      </c>
      <c r="D218" s="157" t="str">
        <f>VLOOKUP($C218,[1]ORÇ_ANALITICO!$B$10:$L$137,4,0)</f>
        <v>LUVA PASSANTE EM COBRE, DN 66 MM, SEM ANEL DE SOLDA, INSTALADO EM PRUMADA DE HIDRÁULICA PREDIAL - FORNECIMENTO E INSTALAÇÃO. AF_04/2022</v>
      </c>
      <c r="E218" s="157" t="e">
        <f>VLOOKUP(D218,[1]ORÇ_ANALITICO!C92:M186,2,0)</f>
        <v>#N/A</v>
      </c>
      <c r="F218" s="157" t="e">
        <f>VLOOKUP(E218,[1]ORÇ_ANALITICO!E92:N186,2,0)</f>
        <v>#N/A</v>
      </c>
      <c r="G218" s="157" t="e">
        <f>VLOOKUP(F218,[1]ORÇ_ANALITICO!F92:O186,2,0)</f>
        <v>#N/A</v>
      </c>
      <c r="H218" s="157" t="e">
        <f>VLOOKUP(G218,[1]ORÇ_ANALITICO!G92:P186,2,0)</f>
        <v>#N/A</v>
      </c>
      <c r="I218" s="157" t="e">
        <f>VLOOKUP(H218,[1]ORÇ_ANALITICO!H92:Q186,2,0)</f>
        <v>#N/A</v>
      </c>
      <c r="J218" s="157" t="e">
        <f>VLOOKUP(I218,[1]ORÇ_ANALITICO!I92:R186,2,0)</f>
        <v>#N/A</v>
      </c>
      <c r="K218" s="157" t="e">
        <f>VLOOKUP(J218,[1]ORÇ_ANALITICO!J92:S186,2,0)</f>
        <v>#N/A</v>
      </c>
      <c r="L218" s="157" t="e">
        <f>VLOOKUP(K218,[1]ORÇ_ANALITICO!K92:T186,2,0)</f>
        <v>#N/A</v>
      </c>
      <c r="M218" s="157" t="e">
        <f>VLOOKUP(L218,[1]ORÇ_ANALITICO!L92:U186,2,0)</f>
        <v>#N/A</v>
      </c>
      <c r="N218" s="157" t="e">
        <f>VLOOKUP(M218,[1]ORÇ_ANALITICO!M92:V186,2,0)</f>
        <v>#N/A</v>
      </c>
      <c r="O218" s="20" t="str">
        <f>VLOOKUP($C218,[1]ORÇ_ANALITICO!$B$10:$L$137,5,0)</f>
        <v>UN</v>
      </c>
      <c r="P218" s="20">
        <f>I236</f>
        <v>221.25749999999999</v>
      </c>
      <c r="Q218" s="6"/>
    </row>
    <row r="219" spans="1:17" s="7" customFormat="1" ht="66" customHeight="1" x14ac:dyDescent="0.25">
      <c r="A219" s="8"/>
      <c r="B219" s="9"/>
      <c r="C219" s="10"/>
      <c r="L219" s="10"/>
      <c r="P219" s="11"/>
      <c r="Q219" s="6"/>
    </row>
    <row r="220" spans="1:17" s="7" customFormat="1" ht="66" customHeight="1" x14ac:dyDescent="0.25">
      <c r="A220" s="8"/>
      <c r="B220" s="9"/>
      <c r="C220" s="22"/>
      <c r="D220" s="24"/>
      <c r="E220" s="48" t="s">
        <v>103</v>
      </c>
      <c r="F220" s="48"/>
      <c r="G220" s="56" t="s">
        <v>23</v>
      </c>
      <c r="H220" s="56"/>
      <c r="I220" s="56"/>
      <c r="J220" s="56"/>
      <c r="K220" s="25"/>
      <c r="L220" s="32"/>
      <c r="P220" s="11"/>
      <c r="Q220" s="6"/>
    </row>
    <row r="221" spans="1:17" s="7" customFormat="1" ht="66" customHeight="1" x14ac:dyDescent="0.25">
      <c r="A221" s="8"/>
      <c r="B221" s="9"/>
      <c r="C221" s="22"/>
      <c r="D221" s="24"/>
      <c r="E221" s="48"/>
      <c r="F221" s="48"/>
      <c r="G221" s="56"/>
      <c r="H221" s="56"/>
      <c r="I221" s="56"/>
      <c r="J221" s="56"/>
      <c r="K221" s="25"/>
      <c r="L221" s="32"/>
      <c r="P221" s="11"/>
      <c r="Q221" s="6"/>
    </row>
    <row r="222" spans="1:17" s="7" customFormat="1" ht="66" customHeight="1" x14ac:dyDescent="0.25">
      <c r="A222" s="8"/>
      <c r="B222" s="9"/>
      <c r="C222" s="22" t="s">
        <v>128</v>
      </c>
      <c r="D222" s="24" t="s">
        <v>12</v>
      </c>
      <c r="E222" s="48">
        <v>24.75</v>
      </c>
      <c r="G222" s="56">
        <v>0.9</v>
      </c>
      <c r="H222" s="56" t="s">
        <v>12</v>
      </c>
      <c r="I222" s="56">
        <f t="shared" ref="I222:I234" si="6">E222*G222</f>
        <v>22.275000000000002</v>
      </c>
      <c r="J222" s="56" t="s">
        <v>25</v>
      </c>
      <c r="K222" s="25"/>
      <c r="L222" s="32"/>
      <c r="P222" s="11"/>
      <c r="Q222" s="6"/>
    </row>
    <row r="223" spans="1:17" s="7" customFormat="1" ht="66" customHeight="1" x14ac:dyDescent="0.25">
      <c r="A223" s="8"/>
      <c r="B223" s="9"/>
      <c r="C223" s="53" t="s">
        <v>129</v>
      </c>
      <c r="D223" s="54" t="s">
        <v>12</v>
      </c>
      <c r="E223" s="55">
        <f>4.2+3.5</f>
        <v>7.7</v>
      </c>
      <c r="F223" s="55" t="s">
        <v>24</v>
      </c>
      <c r="G223" s="67">
        <v>1.1000000000000001</v>
      </c>
      <c r="H223" s="67" t="s">
        <v>12</v>
      </c>
      <c r="I223" s="67">
        <f t="shared" si="6"/>
        <v>8.4700000000000006</v>
      </c>
      <c r="J223" s="67" t="s">
        <v>25</v>
      </c>
      <c r="K223" s="48"/>
      <c r="L223" s="32"/>
      <c r="P223" s="11"/>
      <c r="Q223" s="6"/>
    </row>
    <row r="224" spans="1:17" s="7" customFormat="1" ht="66" customHeight="1" x14ac:dyDescent="0.25">
      <c r="A224" s="8"/>
      <c r="B224" s="9"/>
      <c r="C224" s="22" t="s">
        <v>104</v>
      </c>
      <c r="D224" s="24" t="s">
        <v>12</v>
      </c>
      <c r="E224" s="48">
        <v>4.1500000000000004</v>
      </c>
      <c r="F224" s="48" t="s">
        <v>24</v>
      </c>
      <c r="G224" s="56">
        <v>1.5</v>
      </c>
      <c r="H224" s="56" t="s">
        <v>12</v>
      </c>
      <c r="I224" s="56">
        <f t="shared" si="6"/>
        <v>6.2250000000000005</v>
      </c>
      <c r="J224" s="56" t="s">
        <v>25</v>
      </c>
      <c r="K224" s="25"/>
      <c r="L224" s="32"/>
      <c r="P224" s="11"/>
      <c r="Q224" s="6"/>
    </row>
    <row r="225" spans="1:17" s="7" customFormat="1" ht="66" customHeight="1" x14ac:dyDescent="0.25">
      <c r="A225" s="8"/>
      <c r="B225" s="9"/>
      <c r="C225" s="22" t="s">
        <v>130</v>
      </c>
      <c r="D225" s="24" t="s">
        <v>12</v>
      </c>
      <c r="E225" s="48">
        <v>7.85</v>
      </c>
      <c r="F225" s="48" t="s">
        <v>24</v>
      </c>
      <c r="G225" s="56">
        <v>1.2</v>
      </c>
      <c r="H225" s="56" t="s">
        <v>12</v>
      </c>
      <c r="I225" s="56">
        <f t="shared" si="6"/>
        <v>9.42</v>
      </c>
      <c r="J225" s="56" t="s">
        <v>25</v>
      </c>
      <c r="K225" s="25"/>
      <c r="L225" s="32"/>
      <c r="P225" s="11"/>
      <c r="Q225" s="6"/>
    </row>
    <row r="226" spans="1:17" s="7" customFormat="1" ht="66" customHeight="1" x14ac:dyDescent="0.25">
      <c r="A226" s="8"/>
      <c r="B226" s="9"/>
      <c r="C226" s="22" t="s">
        <v>131</v>
      </c>
      <c r="D226" s="24" t="s">
        <v>12</v>
      </c>
      <c r="E226" s="48">
        <f>12.8+12.65</f>
        <v>25.450000000000003</v>
      </c>
      <c r="F226" s="48" t="s">
        <v>24</v>
      </c>
      <c r="G226" s="56">
        <v>1</v>
      </c>
      <c r="H226" s="56" t="s">
        <v>12</v>
      </c>
      <c r="I226" s="56">
        <f t="shared" si="6"/>
        <v>25.450000000000003</v>
      </c>
      <c r="J226" s="56" t="s">
        <v>25</v>
      </c>
      <c r="K226" s="25"/>
      <c r="L226" s="32"/>
      <c r="P226" s="11"/>
      <c r="Q226" s="6"/>
    </row>
    <row r="227" spans="1:17" s="7" customFormat="1" ht="66" customHeight="1" x14ac:dyDescent="0.25">
      <c r="A227" s="8"/>
      <c r="B227" s="9"/>
      <c r="C227" s="22" t="s">
        <v>66</v>
      </c>
      <c r="D227" s="24" t="s">
        <v>12</v>
      </c>
      <c r="E227" s="48">
        <f>9.15+12.8</f>
        <v>21.950000000000003</v>
      </c>
      <c r="F227" s="48" t="s">
        <v>24</v>
      </c>
      <c r="G227" s="56">
        <v>1.5</v>
      </c>
      <c r="H227" s="56" t="s">
        <v>12</v>
      </c>
      <c r="I227" s="56">
        <f t="shared" si="6"/>
        <v>32.925000000000004</v>
      </c>
      <c r="J227" s="56" t="s">
        <v>25</v>
      </c>
      <c r="K227" s="25"/>
      <c r="L227" s="32"/>
      <c r="P227" s="11"/>
      <c r="Q227" s="6"/>
    </row>
    <row r="228" spans="1:17" s="7" customFormat="1" ht="66" customHeight="1" x14ac:dyDescent="0.25">
      <c r="A228" s="8"/>
      <c r="B228" s="9"/>
      <c r="C228" s="22" t="s">
        <v>109</v>
      </c>
      <c r="D228" s="24" t="s">
        <v>12</v>
      </c>
      <c r="E228" s="48">
        <v>2.85</v>
      </c>
      <c r="F228" s="48" t="s">
        <v>24</v>
      </c>
      <c r="G228" s="56">
        <v>1.25</v>
      </c>
      <c r="H228" s="56" t="s">
        <v>12</v>
      </c>
      <c r="I228" s="56">
        <f t="shared" si="6"/>
        <v>3.5625</v>
      </c>
      <c r="J228" s="56" t="s">
        <v>25</v>
      </c>
      <c r="K228" s="25"/>
      <c r="L228" s="32"/>
      <c r="P228" s="11"/>
      <c r="Q228" s="6"/>
    </row>
    <row r="229" spans="1:17" s="7" customFormat="1" ht="66" customHeight="1" x14ac:dyDescent="0.25">
      <c r="A229" s="8"/>
      <c r="B229" s="9"/>
      <c r="C229" s="22" t="s">
        <v>71</v>
      </c>
      <c r="D229" s="24" t="s">
        <v>12</v>
      </c>
      <c r="E229" s="48">
        <v>18.7</v>
      </c>
      <c r="F229" s="48" t="s">
        <v>24</v>
      </c>
      <c r="G229" s="56">
        <v>1.2</v>
      </c>
      <c r="H229" s="56" t="s">
        <v>12</v>
      </c>
      <c r="I229" s="56">
        <f t="shared" si="6"/>
        <v>22.439999999999998</v>
      </c>
      <c r="J229" s="56" t="s">
        <v>25</v>
      </c>
      <c r="K229" s="25"/>
      <c r="L229" s="32"/>
      <c r="P229" s="11"/>
      <c r="Q229" s="6"/>
    </row>
    <row r="230" spans="1:17" s="7" customFormat="1" ht="66" customHeight="1" x14ac:dyDescent="0.25">
      <c r="A230" s="8"/>
      <c r="B230" s="9"/>
      <c r="C230" s="22" t="s">
        <v>72</v>
      </c>
      <c r="D230" s="24" t="s">
        <v>12</v>
      </c>
      <c r="E230" s="48">
        <v>15.7</v>
      </c>
      <c r="F230" s="48" t="s">
        <v>24</v>
      </c>
      <c r="G230" s="56">
        <v>1.2</v>
      </c>
      <c r="H230" s="56" t="s">
        <v>12</v>
      </c>
      <c r="I230" s="56">
        <f t="shared" si="6"/>
        <v>18.84</v>
      </c>
      <c r="J230" s="56" t="s">
        <v>25</v>
      </c>
      <c r="K230" s="25"/>
      <c r="L230" s="32"/>
      <c r="P230" s="11"/>
      <c r="Q230" s="6"/>
    </row>
    <row r="231" spans="1:17" s="7" customFormat="1" ht="66" customHeight="1" x14ac:dyDescent="0.25">
      <c r="A231" s="8"/>
      <c r="B231" s="9"/>
      <c r="C231" s="53" t="s">
        <v>132</v>
      </c>
      <c r="D231" s="54" t="s">
        <v>12</v>
      </c>
      <c r="E231" s="55">
        <v>7.85</v>
      </c>
      <c r="F231" s="55" t="s">
        <v>24</v>
      </c>
      <c r="G231" s="55">
        <v>1.35</v>
      </c>
      <c r="H231" s="55" t="s">
        <v>12</v>
      </c>
      <c r="I231" s="55">
        <f t="shared" si="6"/>
        <v>10.5975</v>
      </c>
      <c r="J231" s="55" t="s">
        <v>25</v>
      </c>
      <c r="K231" s="48"/>
      <c r="L231" s="32"/>
      <c r="P231" s="11"/>
      <c r="Q231" s="6"/>
    </row>
    <row r="232" spans="1:17" s="7" customFormat="1" ht="66" customHeight="1" x14ac:dyDescent="0.25">
      <c r="A232" s="8"/>
      <c r="B232" s="9"/>
      <c r="C232" s="22" t="s">
        <v>133</v>
      </c>
      <c r="D232" s="24" t="s">
        <v>12</v>
      </c>
      <c r="E232" s="48">
        <v>23.3</v>
      </c>
      <c r="F232" s="48" t="s">
        <v>24</v>
      </c>
      <c r="G232" s="56">
        <v>0.75</v>
      </c>
      <c r="H232" s="56" t="s">
        <v>12</v>
      </c>
      <c r="I232" s="56">
        <f t="shared" si="6"/>
        <v>17.475000000000001</v>
      </c>
      <c r="J232" s="56" t="s">
        <v>25</v>
      </c>
      <c r="K232" s="25"/>
      <c r="L232" s="32"/>
      <c r="P232" s="11"/>
      <c r="Q232" s="6"/>
    </row>
    <row r="233" spans="1:17" s="7" customFormat="1" ht="66" customHeight="1" x14ac:dyDescent="0.25">
      <c r="A233" s="8"/>
      <c r="B233" s="68"/>
      <c r="C233" s="53" t="s">
        <v>134</v>
      </c>
      <c r="D233" s="54" t="s">
        <v>12</v>
      </c>
      <c r="E233" s="55">
        <f>23.5-1.35</f>
        <v>22.15</v>
      </c>
      <c r="F233" s="55" t="s">
        <v>24</v>
      </c>
      <c r="G233" s="55">
        <v>0.85</v>
      </c>
      <c r="H233" s="55" t="s">
        <v>12</v>
      </c>
      <c r="I233" s="55">
        <f t="shared" si="6"/>
        <v>18.827499999999997</v>
      </c>
      <c r="J233" s="55" t="s">
        <v>25</v>
      </c>
      <c r="K233" s="25"/>
      <c r="L233" s="32"/>
      <c r="P233" s="11"/>
      <c r="Q233" s="6"/>
    </row>
    <row r="234" spans="1:17" s="7" customFormat="1" ht="66" customHeight="1" x14ac:dyDescent="0.25">
      <c r="A234" s="8"/>
      <c r="B234" s="9"/>
      <c r="C234" s="22" t="s">
        <v>52</v>
      </c>
      <c r="D234" s="24" t="s">
        <v>12</v>
      </c>
      <c r="E234" s="48">
        <v>24.75</v>
      </c>
      <c r="F234" s="48" t="s">
        <v>24</v>
      </c>
      <c r="G234" s="56">
        <v>1</v>
      </c>
      <c r="H234" s="56" t="s">
        <v>12</v>
      </c>
      <c r="I234" s="56">
        <f t="shared" si="6"/>
        <v>24.75</v>
      </c>
      <c r="J234" s="56" t="s">
        <v>25</v>
      </c>
      <c r="K234" s="25"/>
      <c r="L234" s="32"/>
      <c r="P234" s="11"/>
      <c r="Q234" s="6"/>
    </row>
    <row r="235" spans="1:17" s="7" customFormat="1" ht="66" customHeight="1" x14ac:dyDescent="0.25">
      <c r="A235" s="8"/>
      <c r="B235" s="9"/>
      <c r="C235" s="22"/>
      <c r="D235" s="24"/>
      <c r="E235" s="48"/>
      <c r="F235" s="48"/>
      <c r="G235" s="56"/>
      <c r="H235" s="56"/>
      <c r="I235" s="56"/>
      <c r="J235" s="56"/>
      <c r="K235" s="25"/>
      <c r="L235" s="32"/>
      <c r="P235" s="11"/>
      <c r="Q235" s="6"/>
    </row>
    <row r="236" spans="1:17" s="7" customFormat="1" ht="66" customHeight="1" x14ac:dyDescent="0.25">
      <c r="A236" s="8"/>
      <c r="B236" s="9"/>
      <c r="C236" s="22"/>
      <c r="D236" s="24"/>
      <c r="E236" s="48"/>
      <c r="F236" s="48"/>
      <c r="G236" s="66" t="s">
        <v>48</v>
      </c>
      <c r="H236" s="66" t="s">
        <v>12</v>
      </c>
      <c r="I236" s="66">
        <f>SUM(I222:I234)</f>
        <v>221.25749999999999</v>
      </c>
      <c r="J236" s="66" t="s">
        <v>25</v>
      </c>
      <c r="K236" s="25"/>
      <c r="L236" s="32"/>
      <c r="P236" s="11"/>
      <c r="Q236" s="6"/>
    </row>
    <row r="237" spans="1:17" s="7" customFormat="1" ht="66" customHeight="1" x14ac:dyDescent="0.25">
      <c r="A237" s="8"/>
      <c r="P237" s="11"/>
      <c r="Q237" s="6"/>
    </row>
    <row r="238" spans="1:17" s="7" customFormat="1" ht="66" customHeight="1" x14ac:dyDescent="0.25">
      <c r="A238" s="8"/>
      <c r="P238" s="11"/>
      <c r="Q238" s="6"/>
    </row>
    <row r="239" spans="1:17" s="7" customFormat="1" ht="66" customHeight="1" x14ac:dyDescent="0.25">
      <c r="A239" s="8"/>
      <c r="B239" s="18" t="s">
        <v>135</v>
      </c>
      <c r="C239" s="19" t="str">
        <f>VLOOKUP($B239,[1]ORÇ_ANALITICO!$A$10:$K$137,2,0)</f>
        <v>05.001.0145-0</v>
      </c>
      <c r="D239" s="157" t="str">
        <f>VLOOKUP($C239,[1]ORÇ_ANALITICO!$B$10:$L$137,4,0)</f>
        <v>ARRANCAMENTO DE APARELHOS SANITARIOS</v>
      </c>
      <c r="E239" s="157" t="e">
        <f>VLOOKUP(D239,[1]ORÇ_ANALITICO!C115:M207,2,0)</f>
        <v>#N/A</v>
      </c>
      <c r="F239" s="157" t="e">
        <f>VLOOKUP(E239,[1]ORÇ_ANALITICO!E115:N207,2,0)</f>
        <v>#N/A</v>
      </c>
      <c r="G239" s="157" t="e">
        <f>VLOOKUP(F239,[1]ORÇ_ANALITICO!F115:O207,2,0)</f>
        <v>#N/A</v>
      </c>
      <c r="H239" s="157" t="e">
        <f>VLOOKUP(G239,[1]ORÇ_ANALITICO!G115:P207,2,0)</f>
        <v>#N/A</v>
      </c>
      <c r="I239" s="157" t="e">
        <f>VLOOKUP(H239,[1]ORÇ_ANALITICO!H115:Q207,2,0)</f>
        <v>#N/A</v>
      </c>
      <c r="J239" s="157" t="e">
        <f>VLOOKUP(I239,[1]ORÇ_ANALITICO!I115:R207,2,0)</f>
        <v>#N/A</v>
      </c>
      <c r="K239" s="157" t="e">
        <f>VLOOKUP(J239,[1]ORÇ_ANALITICO!J115:S207,2,0)</f>
        <v>#N/A</v>
      </c>
      <c r="L239" s="157" t="e">
        <f>VLOOKUP(K239,[1]ORÇ_ANALITICO!K115:T207,2,0)</f>
        <v>#N/A</v>
      </c>
      <c r="M239" s="157" t="e">
        <f>VLOOKUP(L239,[1]ORÇ_ANALITICO!L115:U207,2,0)</f>
        <v>#N/A</v>
      </c>
      <c r="N239" s="157" t="e">
        <f>VLOOKUP(M239,[1]ORÇ_ANALITICO!M115:V207,2,0)</f>
        <v>#N/A</v>
      </c>
      <c r="O239" s="20" t="str">
        <f>VLOOKUP($C239,[1]ORÇ_ANALITICO!$B$10:$L$137,5,0)</f>
        <v>UN</v>
      </c>
      <c r="P239" s="20">
        <f>E250</f>
        <v>10</v>
      </c>
      <c r="Q239" s="6"/>
    </row>
    <row r="240" spans="1:17" s="7" customFormat="1" ht="66" customHeight="1" x14ac:dyDescent="0.25">
      <c r="A240" s="8"/>
      <c r="B240" s="9"/>
      <c r="C240" s="10"/>
      <c r="L240" s="10"/>
      <c r="P240" s="11"/>
      <c r="Q240" s="6"/>
    </row>
    <row r="241" spans="1:17" s="7" customFormat="1" ht="66" customHeight="1" x14ac:dyDescent="0.25">
      <c r="A241" s="8"/>
      <c r="B241" s="9"/>
      <c r="C241" s="22"/>
      <c r="D241" s="24"/>
      <c r="E241" s="48" t="s">
        <v>75</v>
      </c>
      <c r="F241" s="24"/>
      <c r="L241" s="10"/>
      <c r="P241" s="11"/>
      <c r="Q241" s="6"/>
    </row>
    <row r="242" spans="1:17" s="7" customFormat="1" ht="66" customHeight="1" x14ac:dyDescent="0.25">
      <c r="A242" s="8"/>
      <c r="B242" s="9"/>
      <c r="C242" s="22"/>
      <c r="D242" s="24"/>
      <c r="E242" s="48"/>
      <c r="F242" s="24"/>
      <c r="L242" s="10"/>
      <c r="P242" s="11"/>
      <c r="Q242" s="6"/>
    </row>
    <row r="243" spans="1:17" s="7" customFormat="1" ht="66" customHeight="1" x14ac:dyDescent="0.25">
      <c r="A243" s="8"/>
      <c r="B243" s="9"/>
      <c r="C243" s="22" t="s">
        <v>106</v>
      </c>
      <c r="D243" s="24" t="s">
        <v>12</v>
      </c>
      <c r="E243" s="48">
        <v>2</v>
      </c>
      <c r="F243" s="48" t="s">
        <v>77</v>
      </c>
      <c r="L243" s="10"/>
      <c r="P243" s="11"/>
      <c r="Q243" s="6"/>
    </row>
    <row r="244" spans="1:17" s="7" customFormat="1" ht="66" customHeight="1" x14ac:dyDescent="0.25">
      <c r="A244" s="8"/>
      <c r="B244" s="9"/>
      <c r="C244" s="22" t="s">
        <v>107</v>
      </c>
      <c r="D244" s="24" t="s">
        <v>12</v>
      </c>
      <c r="E244" s="48">
        <v>2</v>
      </c>
      <c r="F244" s="48" t="s">
        <v>77</v>
      </c>
      <c r="L244" s="10"/>
      <c r="P244" s="11"/>
      <c r="Q244" s="6"/>
    </row>
    <row r="245" spans="1:17" s="7" customFormat="1" ht="66" customHeight="1" x14ac:dyDescent="0.25">
      <c r="A245" s="8"/>
      <c r="B245" s="9"/>
      <c r="C245" s="22" t="s">
        <v>109</v>
      </c>
      <c r="D245" s="24" t="s">
        <v>12</v>
      </c>
      <c r="E245" s="48">
        <v>2</v>
      </c>
      <c r="F245" s="48" t="s">
        <v>77</v>
      </c>
      <c r="L245" s="10"/>
      <c r="P245" s="11"/>
      <c r="Q245" s="6"/>
    </row>
    <row r="246" spans="1:17" s="7" customFormat="1" ht="66" customHeight="1" x14ac:dyDescent="0.25">
      <c r="A246" s="8"/>
      <c r="B246" s="9"/>
      <c r="C246" s="22" t="s">
        <v>110</v>
      </c>
      <c r="D246" s="24" t="s">
        <v>12</v>
      </c>
      <c r="E246" s="48">
        <v>2</v>
      </c>
      <c r="F246" s="48" t="s">
        <v>77</v>
      </c>
      <c r="L246" s="10"/>
      <c r="P246" s="11"/>
      <c r="Q246" s="6"/>
    </row>
    <row r="247" spans="1:17" s="7" customFormat="1" ht="66" customHeight="1" x14ac:dyDescent="0.25">
      <c r="A247" s="8"/>
      <c r="B247" s="9"/>
      <c r="C247" s="22" t="s">
        <v>123</v>
      </c>
      <c r="D247" s="24" t="s">
        <v>12</v>
      </c>
      <c r="E247" s="48">
        <v>1</v>
      </c>
      <c r="F247" s="48" t="s">
        <v>77</v>
      </c>
      <c r="L247" s="10"/>
      <c r="P247" s="11"/>
      <c r="Q247" s="6"/>
    </row>
    <row r="248" spans="1:17" s="7" customFormat="1" ht="66" customHeight="1" x14ac:dyDescent="0.25">
      <c r="A248" s="8"/>
      <c r="B248" s="9"/>
      <c r="C248" s="22" t="s">
        <v>67</v>
      </c>
      <c r="D248" s="24" t="s">
        <v>12</v>
      </c>
      <c r="E248" s="48">
        <v>1</v>
      </c>
      <c r="F248" s="48" t="s">
        <v>77</v>
      </c>
      <c r="L248" s="10"/>
      <c r="P248" s="11"/>
      <c r="Q248" s="6"/>
    </row>
    <row r="249" spans="1:17" s="7" customFormat="1" ht="66" customHeight="1" x14ac:dyDescent="0.25">
      <c r="A249" s="8"/>
      <c r="B249" s="9"/>
      <c r="C249" s="10"/>
      <c r="L249" s="10"/>
      <c r="P249" s="11"/>
      <c r="Q249" s="6"/>
    </row>
    <row r="250" spans="1:17" s="7" customFormat="1" ht="66" customHeight="1" x14ac:dyDescent="0.25">
      <c r="A250" s="8"/>
      <c r="B250" s="9"/>
      <c r="C250" s="52" t="s">
        <v>48</v>
      </c>
      <c r="D250" s="27" t="s">
        <v>12</v>
      </c>
      <c r="E250" s="26">
        <f>SUM(E243:E248)</f>
        <v>10</v>
      </c>
      <c r="F250" s="27" t="s">
        <v>77</v>
      </c>
      <c r="L250" s="10"/>
      <c r="P250" s="11"/>
      <c r="Q250" s="6"/>
    </row>
    <row r="251" spans="1:17" s="7" customFormat="1" ht="66" customHeight="1" x14ac:dyDescent="0.25">
      <c r="A251" s="8"/>
      <c r="P251" s="11"/>
      <c r="Q251" s="6"/>
    </row>
    <row r="252" spans="1:17" s="7" customFormat="1" ht="66" customHeight="1" x14ac:dyDescent="0.25">
      <c r="A252" s="8"/>
      <c r="B252" s="18" t="s">
        <v>136</v>
      </c>
      <c r="C252" s="19" t="str">
        <f>VLOOKUP($B252,[1]ORÇ_ANALITICO!$A$10:$K$137,2,0)</f>
        <v>05.041.0875-0</v>
      </c>
      <c r="D252" s="157" t="str">
        <f>VLOOKUP($C252,[1]ORÇ_ANALITICO!$B$10:$L$137,4,0)</f>
        <v>RASPAGEM,CALAFETACAO E APLICACAO DE TRES DEMAOS DE RESINA LIQUIDA A BASE DE UREIA-FORMOL,EM TACOS OU SOALHO DE MADEIRA</v>
      </c>
      <c r="E252" s="157" t="e">
        <f>VLOOKUP(D252,[1]ORÇ_ANALITICO!C128:M220,2,0)</f>
        <v>#N/A</v>
      </c>
      <c r="F252" s="157" t="e">
        <f>VLOOKUP(E252,[1]ORÇ_ANALITICO!E128:N220,2,0)</f>
        <v>#N/A</v>
      </c>
      <c r="G252" s="157" t="e">
        <f>VLOOKUP(F252,[1]ORÇ_ANALITICO!F128:O220,2,0)</f>
        <v>#N/A</v>
      </c>
      <c r="H252" s="157" t="e">
        <f>VLOOKUP(G252,[1]ORÇ_ANALITICO!G128:P220,2,0)</f>
        <v>#N/A</v>
      </c>
      <c r="I252" s="157" t="e">
        <f>VLOOKUP(H252,[1]ORÇ_ANALITICO!H128:Q220,2,0)</f>
        <v>#N/A</v>
      </c>
      <c r="J252" s="157" t="e">
        <f>VLOOKUP(I252,[1]ORÇ_ANALITICO!I128:R220,2,0)</f>
        <v>#N/A</v>
      </c>
      <c r="K252" s="157" t="e">
        <f>VLOOKUP(J252,[1]ORÇ_ANALITICO!J128:S220,2,0)</f>
        <v>#N/A</v>
      </c>
      <c r="L252" s="157" t="e">
        <f>VLOOKUP(K252,[1]ORÇ_ANALITICO!K128:T220,2,0)</f>
        <v>#N/A</v>
      </c>
      <c r="M252" s="157" t="e">
        <f>VLOOKUP(L252,[1]ORÇ_ANALITICO!L128:U220,2,0)</f>
        <v>#N/A</v>
      </c>
      <c r="N252" s="157" t="e">
        <f>VLOOKUP(M252,[1]ORÇ_ANALITICO!M128:V220,2,0)</f>
        <v>#N/A</v>
      </c>
      <c r="O252" s="20" t="str">
        <f>VLOOKUP($C252,[1]ORÇ_ANALITICO!$B$10:$L$137,5,0)</f>
        <v>M2</v>
      </c>
      <c r="P252" s="20">
        <f>E271</f>
        <v>481.94</v>
      </c>
      <c r="Q252" s="6"/>
    </row>
    <row r="253" spans="1:17" s="7" customFormat="1" ht="66" customHeight="1" x14ac:dyDescent="0.25">
      <c r="A253" s="8"/>
      <c r="B253" s="9"/>
      <c r="C253" s="10"/>
      <c r="L253" s="10"/>
      <c r="P253" s="11"/>
      <c r="Q253" s="6"/>
    </row>
    <row r="254" spans="1:17" s="7" customFormat="1" ht="66" customHeight="1" x14ac:dyDescent="0.25">
      <c r="A254" s="8"/>
      <c r="B254" s="9"/>
      <c r="C254" s="22"/>
      <c r="D254" s="24"/>
      <c r="E254" s="48" t="s">
        <v>57</v>
      </c>
      <c r="F254" s="48"/>
      <c r="G254" s="56"/>
      <c r="H254" s="56"/>
      <c r="I254" s="56"/>
      <c r="J254" s="56"/>
      <c r="K254" s="25"/>
      <c r="L254" s="32"/>
      <c r="P254" s="11"/>
      <c r="Q254" s="6"/>
    </row>
    <row r="255" spans="1:17" s="7" customFormat="1" ht="66" customHeight="1" x14ac:dyDescent="0.25">
      <c r="A255" s="8"/>
      <c r="B255" s="9"/>
      <c r="C255" s="22"/>
      <c r="D255" s="24"/>
      <c r="E255" s="48"/>
      <c r="F255" s="48"/>
      <c r="G255" s="56"/>
      <c r="H255" s="56"/>
      <c r="I255" s="56"/>
      <c r="J255" s="56"/>
      <c r="K255" s="25"/>
      <c r="L255" s="32"/>
      <c r="P255" s="11"/>
      <c r="Q255" s="6"/>
    </row>
    <row r="256" spans="1:17" s="7" customFormat="1" ht="66" customHeight="1" x14ac:dyDescent="0.25">
      <c r="A256" s="8"/>
      <c r="B256" s="9"/>
      <c r="C256" s="22" t="s">
        <v>137</v>
      </c>
      <c r="D256" s="24" t="s">
        <v>12</v>
      </c>
      <c r="E256" s="48">
        <v>28.56</v>
      </c>
      <c r="F256" s="48" t="s">
        <v>25</v>
      </c>
      <c r="G256" s="56"/>
      <c r="H256" s="56"/>
      <c r="I256" s="56"/>
      <c r="J256" s="56"/>
      <c r="K256" s="25"/>
      <c r="L256" s="32"/>
      <c r="P256" s="11"/>
      <c r="Q256" s="6"/>
    </row>
    <row r="257" spans="1:17" s="7" customFormat="1" ht="66" customHeight="1" x14ac:dyDescent="0.25">
      <c r="A257" s="8"/>
      <c r="B257" s="9"/>
      <c r="C257" s="22" t="s">
        <v>138</v>
      </c>
      <c r="D257" s="24" t="s">
        <v>12</v>
      </c>
      <c r="E257" s="48">
        <v>14.7</v>
      </c>
      <c r="F257" s="48" t="s">
        <v>25</v>
      </c>
      <c r="G257" s="56"/>
      <c r="H257" s="22"/>
      <c r="I257" s="56"/>
      <c r="J257" s="56"/>
      <c r="K257" s="25"/>
      <c r="L257" s="32"/>
      <c r="P257" s="11"/>
      <c r="Q257" s="6"/>
    </row>
    <row r="258" spans="1:17" s="7" customFormat="1" ht="66" customHeight="1" x14ac:dyDescent="0.25">
      <c r="A258" s="8"/>
      <c r="B258" s="9"/>
      <c r="C258" s="22" t="s">
        <v>139</v>
      </c>
      <c r="D258" s="24" t="s">
        <v>12</v>
      </c>
      <c r="E258" s="48">
        <v>27.09</v>
      </c>
      <c r="F258" s="48" t="s">
        <v>25</v>
      </c>
      <c r="G258" s="56"/>
      <c r="H258" s="22"/>
      <c r="I258" s="56"/>
      <c r="J258" s="56"/>
      <c r="K258" s="25"/>
      <c r="L258" s="32"/>
      <c r="P258" s="11"/>
      <c r="Q258" s="6"/>
    </row>
    <row r="259" spans="1:17" s="7" customFormat="1" ht="66" customHeight="1" x14ac:dyDescent="0.25">
      <c r="A259" s="8"/>
      <c r="B259" s="9"/>
      <c r="C259" s="22" t="s">
        <v>140</v>
      </c>
      <c r="D259" s="24" t="s">
        <v>12</v>
      </c>
      <c r="E259" s="48">
        <v>27.09</v>
      </c>
      <c r="F259" s="48" t="s">
        <v>25</v>
      </c>
      <c r="G259" s="56"/>
      <c r="H259" s="22"/>
      <c r="I259" s="56"/>
      <c r="J259" s="56"/>
      <c r="K259" s="25"/>
      <c r="L259" s="32"/>
      <c r="P259" s="11"/>
      <c r="Q259" s="6"/>
    </row>
    <row r="260" spans="1:17" s="7" customFormat="1" ht="66" customHeight="1" x14ac:dyDescent="0.25">
      <c r="A260" s="8"/>
      <c r="B260" s="9"/>
      <c r="C260" s="22" t="s">
        <v>141</v>
      </c>
      <c r="D260" s="24" t="s">
        <v>12</v>
      </c>
      <c r="E260" s="48">
        <v>17.41</v>
      </c>
      <c r="F260" s="48" t="s">
        <v>25</v>
      </c>
      <c r="G260" s="56"/>
      <c r="H260" s="22"/>
      <c r="I260" s="56"/>
      <c r="J260" s="56"/>
      <c r="K260" s="25"/>
      <c r="L260" s="32"/>
      <c r="P260" s="11"/>
      <c r="Q260" s="6"/>
    </row>
    <row r="261" spans="1:17" s="7" customFormat="1" ht="66" customHeight="1" x14ac:dyDescent="0.25">
      <c r="A261" s="8"/>
      <c r="B261" s="9"/>
      <c r="C261" s="22" t="s">
        <v>142</v>
      </c>
      <c r="D261" s="24" t="s">
        <v>12</v>
      </c>
      <c r="E261" s="48">
        <v>17</v>
      </c>
      <c r="F261" s="48" t="s">
        <v>25</v>
      </c>
      <c r="G261" s="56"/>
      <c r="H261" s="22"/>
      <c r="I261" s="56"/>
      <c r="J261" s="56"/>
      <c r="K261" s="25"/>
      <c r="L261" s="32"/>
      <c r="P261" s="11"/>
      <c r="Q261" s="6"/>
    </row>
    <row r="262" spans="1:17" s="7" customFormat="1" ht="66" customHeight="1" x14ac:dyDescent="0.25">
      <c r="A262" s="8"/>
      <c r="B262" s="9"/>
      <c r="C262" s="22" t="s">
        <v>58</v>
      </c>
      <c r="D262" s="24" t="s">
        <v>12</v>
      </c>
      <c r="E262" s="48">
        <v>42.3</v>
      </c>
      <c r="F262" s="48" t="s">
        <v>25</v>
      </c>
      <c r="G262" s="56"/>
      <c r="H262" s="22"/>
      <c r="I262" s="56"/>
      <c r="J262" s="56"/>
      <c r="K262" s="25"/>
      <c r="L262" s="32"/>
      <c r="P262" s="11"/>
      <c r="Q262" s="6"/>
    </row>
    <row r="263" spans="1:17" s="7" customFormat="1" ht="66" customHeight="1" x14ac:dyDescent="0.25">
      <c r="A263" s="8"/>
      <c r="B263" s="9"/>
      <c r="C263" s="22" t="s">
        <v>143</v>
      </c>
      <c r="D263" s="24" t="s">
        <v>12</v>
      </c>
      <c r="E263" s="48">
        <v>8.89</v>
      </c>
      <c r="F263" s="48" t="s">
        <v>25</v>
      </c>
      <c r="G263" s="56"/>
      <c r="H263" s="22"/>
      <c r="I263" s="56"/>
      <c r="J263" s="56"/>
      <c r="K263" s="25"/>
      <c r="L263" s="32"/>
      <c r="P263" s="11"/>
      <c r="Q263" s="6"/>
    </row>
    <row r="264" spans="1:17" s="7" customFormat="1" ht="66" customHeight="1" x14ac:dyDescent="0.25">
      <c r="A264" s="8"/>
      <c r="B264" s="9"/>
      <c r="C264" s="22" t="s">
        <v>61</v>
      </c>
      <c r="D264" s="24" t="s">
        <v>12</v>
      </c>
      <c r="E264" s="48">
        <v>46.67</v>
      </c>
      <c r="F264" s="48" t="s">
        <v>25</v>
      </c>
      <c r="G264" s="56"/>
      <c r="H264" s="22"/>
      <c r="I264" s="56"/>
      <c r="J264" s="56"/>
      <c r="K264" s="25"/>
      <c r="L264" s="32"/>
      <c r="P264" s="11"/>
      <c r="Q264" s="6"/>
    </row>
    <row r="265" spans="1:17" s="7" customFormat="1" ht="66" customHeight="1" x14ac:dyDescent="0.25">
      <c r="A265" s="8"/>
      <c r="B265" s="9"/>
      <c r="C265" s="22" t="s">
        <v>64</v>
      </c>
      <c r="D265" s="24" t="s">
        <v>12</v>
      </c>
      <c r="E265" s="48">
        <v>58.56</v>
      </c>
      <c r="F265" s="48" t="s">
        <v>25</v>
      </c>
      <c r="G265" s="56"/>
      <c r="H265" s="22"/>
      <c r="I265" s="56"/>
      <c r="J265" s="56"/>
      <c r="K265" s="25"/>
      <c r="L265" s="32"/>
      <c r="P265" s="11"/>
      <c r="Q265" s="6"/>
    </row>
    <row r="266" spans="1:17" s="7" customFormat="1" ht="66" customHeight="1" x14ac:dyDescent="0.25">
      <c r="A266" s="8"/>
      <c r="B266" s="9"/>
      <c r="C266" s="22" t="s">
        <v>65</v>
      </c>
      <c r="D266" s="24" t="s">
        <v>12</v>
      </c>
      <c r="E266" s="48">
        <v>18.489999999999998</v>
      </c>
      <c r="F266" s="48" t="s">
        <v>25</v>
      </c>
      <c r="G266" s="56"/>
      <c r="H266" s="22"/>
      <c r="I266" s="56"/>
      <c r="J266" s="56"/>
      <c r="K266" s="25"/>
      <c r="L266" s="32"/>
      <c r="P266" s="11"/>
      <c r="Q266" s="6"/>
    </row>
    <row r="267" spans="1:17" s="7" customFormat="1" ht="66" customHeight="1" x14ac:dyDescent="0.25">
      <c r="A267" s="8"/>
      <c r="B267" s="9"/>
      <c r="C267" s="22" t="s">
        <v>66</v>
      </c>
      <c r="D267" s="24" t="s">
        <v>12</v>
      </c>
      <c r="E267" s="48">
        <v>117.12</v>
      </c>
      <c r="F267" s="48" t="s">
        <v>25</v>
      </c>
      <c r="G267" s="56"/>
      <c r="H267" s="22"/>
      <c r="I267" s="56"/>
      <c r="J267" s="56"/>
      <c r="K267" s="25"/>
      <c r="L267" s="32"/>
      <c r="P267" s="11"/>
      <c r="Q267" s="6"/>
    </row>
    <row r="268" spans="1:17" s="7" customFormat="1" ht="66" customHeight="1" x14ac:dyDescent="0.25">
      <c r="A268" s="8"/>
      <c r="B268" s="9"/>
      <c r="C268" s="22" t="s">
        <v>70</v>
      </c>
      <c r="D268" s="24" t="s">
        <v>12</v>
      </c>
      <c r="E268" s="48">
        <v>45.94</v>
      </c>
      <c r="F268" s="48" t="s">
        <v>25</v>
      </c>
      <c r="G268" s="56"/>
      <c r="H268" s="22"/>
      <c r="I268" s="56"/>
      <c r="J268" s="56"/>
      <c r="K268" s="25"/>
      <c r="L268" s="32"/>
      <c r="P268" s="11"/>
      <c r="Q268" s="6"/>
    </row>
    <row r="269" spans="1:17" s="7" customFormat="1" ht="66" customHeight="1" x14ac:dyDescent="0.25">
      <c r="A269" s="8"/>
      <c r="B269" s="9"/>
      <c r="C269" s="22" t="s">
        <v>144</v>
      </c>
      <c r="D269" s="24" t="s">
        <v>12</v>
      </c>
      <c r="E269" s="48">
        <v>12.12</v>
      </c>
      <c r="F269" s="48" t="s">
        <v>25</v>
      </c>
      <c r="G269" s="56"/>
      <c r="H269" s="56"/>
      <c r="I269" s="56"/>
      <c r="J269" s="56"/>
      <c r="K269" s="25"/>
      <c r="L269" s="32"/>
      <c r="P269" s="11"/>
      <c r="Q269" s="6"/>
    </row>
    <row r="270" spans="1:17" s="7" customFormat="1" ht="66" customHeight="1" x14ac:dyDescent="0.25">
      <c r="A270" s="8"/>
      <c r="B270" s="9"/>
      <c r="C270" s="22"/>
      <c r="D270" s="24"/>
      <c r="E270" s="48"/>
      <c r="F270" s="48"/>
      <c r="G270" s="56"/>
      <c r="H270" s="56"/>
      <c r="I270" s="56"/>
      <c r="J270" s="56"/>
      <c r="K270" s="25"/>
      <c r="L270" s="32"/>
      <c r="P270" s="11"/>
      <c r="Q270" s="6"/>
    </row>
    <row r="271" spans="1:17" s="7" customFormat="1" ht="66" customHeight="1" x14ac:dyDescent="0.25">
      <c r="A271" s="8"/>
      <c r="B271" s="9"/>
      <c r="C271" s="52" t="s">
        <v>48</v>
      </c>
      <c r="D271" s="27" t="s">
        <v>12</v>
      </c>
      <c r="E271" s="26">
        <f>SUM(E256:E269)</f>
        <v>481.94</v>
      </c>
      <c r="F271" s="26" t="s">
        <v>25</v>
      </c>
      <c r="G271" s="56"/>
      <c r="H271" s="56"/>
      <c r="I271" s="56"/>
      <c r="J271" s="56"/>
      <c r="K271" s="25"/>
      <c r="L271" s="32"/>
      <c r="P271" s="11"/>
      <c r="Q271" s="6"/>
    </row>
    <row r="272" spans="1:17" s="7" customFormat="1" ht="66" customHeight="1" x14ac:dyDescent="0.25">
      <c r="A272" s="8"/>
      <c r="B272" s="9"/>
      <c r="C272" s="10"/>
      <c r="L272" s="10"/>
      <c r="P272" s="11"/>
      <c r="Q272" s="6"/>
    </row>
    <row r="273" spans="1:17" s="7" customFormat="1" ht="66" customHeight="1" x14ac:dyDescent="0.25">
      <c r="A273" s="8"/>
      <c r="B273" s="18" t="s">
        <v>145</v>
      </c>
      <c r="C273" s="19" t="str">
        <f>VLOOKUP($B273,[1]ORÇ_ANALITICO!$A$10:$K$137,2,0)</f>
        <v>05.042.0880-0</v>
      </c>
      <c r="D273" s="157" t="str">
        <f>VLOOKUP($C273,[1]ORÇ_ANALITICO!$B$10:$L$137,4,0)</f>
        <v>ENCERAMENTO DE PISO DE QUALQUER NATUREZA,UMA DEMAO</v>
      </c>
      <c r="E273" s="157" t="e">
        <f>VLOOKUP(D273,[1]ORÇ_ANALITICO!C142:M241,2,0)</f>
        <v>#N/A</v>
      </c>
      <c r="F273" s="157" t="e">
        <f>VLOOKUP(E273,[1]ORÇ_ANALITICO!E142:N241,2,0)</f>
        <v>#N/A</v>
      </c>
      <c r="G273" s="157" t="e">
        <f>VLOOKUP(F273,[1]ORÇ_ANALITICO!F142:O241,2,0)</f>
        <v>#N/A</v>
      </c>
      <c r="H273" s="157" t="e">
        <f>VLOOKUP(G273,[1]ORÇ_ANALITICO!G142:P241,2,0)</f>
        <v>#N/A</v>
      </c>
      <c r="I273" s="157" t="e">
        <f>VLOOKUP(H273,[1]ORÇ_ANALITICO!H142:Q241,2,0)</f>
        <v>#N/A</v>
      </c>
      <c r="J273" s="157" t="e">
        <f>VLOOKUP(I273,[1]ORÇ_ANALITICO!I142:R241,2,0)</f>
        <v>#N/A</v>
      </c>
      <c r="K273" s="157" t="e">
        <f>VLOOKUP(J273,[1]ORÇ_ANALITICO!J142:S241,2,0)</f>
        <v>#N/A</v>
      </c>
      <c r="L273" s="157" t="e">
        <f>VLOOKUP(K273,[1]ORÇ_ANALITICO!K142:T241,2,0)</f>
        <v>#N/A</v>
      </c>
      <c r="M273" s="157" t="e">
        <f>VLOOKUP(L273,[1]ORÇ_ANALITICO!L142:U241,2,0)</f>
        <v>#N/A</v>
      </c>
      <c r="N273" s="157" t="e">
        <f>VLOOKUP(M273,[1]ORÇ_ANALITICO!M142:V241,2,0)</f>
        <v>#N/A</v>
      </c>
      <c r="O273" s="20" t="str">
        <f>VLOOKUP($C273,[1]ORÇ_ANALITICO!$B$10:$L$137,5,0)</f>
        <v>M2</v>
      </c>
      <c r="P273" s="20">
        <f>E291</f>
        <v>469.82</v>
      </c>
      <c r="Q273" s="6"/>
    </row>
    <row r="274" spans="1:17" s="7" customFormat="1" ht="66" customHeight="1" x14ac:dyDescent="0.25">
      <c r="A274" s="8"/>
      <c r="B274" s="9"/>
      <c r="C274" s="10"/>
      <c r="L274" s="10"/>
      <c r="P274" s="11"/>
      <c r="Q274" s="6"/>
    </row>
    <row r="275" spans="1:17" s="7" customFormat="1" ht="66" customHeight="1" x14ac:dyDescent="0.25">
      <c r="A275" s="8"/>
      <c r="B275" s="9"/>
      <c r="C275" s="22"/>
      <c r="D275" s="24"/>
      <c r="E275" s="48" t="s">
        <v>57</v>
      </c>
      <c r="F275" s="48"/>
      <c r="L275" s="10"/>
      <c r="P275" s="11"/>
      <c r="Q275" s="6"/>
    </row>
    <row r="276" spans="1:17" s="7" customFormat="1" ht="66" customHeight="1" x14ac:dyDescent="0.25">
      <c r="A276" s="8"/>
      <c r="B276" s="9"/>
      <c r="C276" s="22"/>
      <c r="D276" s="24"/>
      <c r="E276" s="48"/>
      <c r="F276" s="48"/>
      <c r="L276" s="10"/>
      <c r="P276" s="11"/>
      <c r="Q276" s="6"/>
    </row>
    <row r="277" spans="1:17" s="7" customFormat="1" ht="66" customHeight="1" x14ac:dyDescent="0.25">
      <c r="A277" s="8"/>
      <c r="B277" s="9"/>
      <c r="C277" s="22" t="s">
        <v>137</v>
      </c>
      <c r="D277" s="24" t="s">
        <v>12</v>
      </c>
      <c r="E277" s="48">
        <v>28.56</v>
      </c>
      <c r="F277" s="48" t="s">
        <v>25</v>
      </c>
      <c r="L277" s="10"/>
      <c r="P277" s="11"/>
      <c r="Q277" s="6"/>
    </row>
    <row r="278" spans="1:17" s="7" customFormat="1" ht="66" customHeight="1" x14ac:dyDescent="0.25">
      <c r="A278" s="8"/>
      <c r="B278" s="9"/>
      <c r="C278" s="22" t="s">
        <v>138</v>
      </c>
      <c r="D278" s="24" t="s">
        <v>12</v>
      </c>
      <c r="E278" s="48">
        <v>14.7</v>
      </c>
      <c r="F278" s="48" t="s">
        <v>25</v>
      </c>
      <c r="L278" s="10"/>
      <c r="P278" s="11"/>
      <c r="Q278" s="6"/>
    </row>
    <row r="279" spans="1:17" s="7" customFormat="1" ht="66" customHeight="1" x14ac:dyDescent="0.25">
      <c r="A279" s="8"/>
      <c r="B279" s="9"/>
      <c r="C279" s="22" t="s">
        <v>139</v>
      </c>
      <c r="D279" s="24" t="s">
        <v>12</v>
      </c>
      <c r="E279" s="48">
        <v>27.09</v>
      </c>
      <c r="F279" s="48" t="s">
        <v>25</v>
      </c>
      <c r="L279" s="10"/>
      <c r="P279" s="11"/>
      <c r="Q279" s="6"/>
    </row>
    <row r="280" spans="1:17" s="7" customFormat="1" ht="66" customHeight="1" x14ac:dyDescent="0.25">
      <c r="A280" s="8"/>
      <c r="B280" s="9"/>
      <c r="C280" s="22" t="s">
        <v>140</v>
      </c>
      <c r="D280" s="24" t="s">
        <v>12</v>
      </c>
      <c r="E280" s="48">
        <v>27.09</v>
      </c>
      <c r="F280" s="48" t="s">
        <v>25</v>
      </c>
      <c r="L280" s="10"/>
      <c r="P280" s="11"/>
      <c r="Q280" s="6"/>
    </row>
    <row r="281" spans="1:17" s="7" customFormat="1" ht="66" customHeight="1" x14ac:dyDescent="0.25">
      <c r="A281" s="8"/>
      <c r="B281" s="9"/>
      <c r="C281" s="22" t="s">
        <v>141</v>
      </c>
      <c r="D281" s="24" t="s">
        <v>12</v>
      </c>
      <c r="E281" s="48">
        <v>17.41</v>
      </c>
      <c r="F281" s="48" t="s">
        <v>25</v>
      </c>
      <c r="L281" s="10"/>
      <c r="P281" s="11"/>
      <c r="Q281" s="6"/>
    </row>
    <row r="282" spans="1:17" s="7" customFormat="1" ht="66" customHeight="1" x14ac:dyDescent="0.25">
      <c r="A282" s="8"/>
      <c r="B282" s="9"/>
      <c r="C282" s="22" t="s">
        <v>142</v>
      </c>
      <c r="D282" s="24" t="s">
        <v>12</v>
      </c>
      <c r="E282" s="48">
        <v>17</v>
      </c>
      <c r="F282" s="48" t="s">
        <v>25</v>
      </c>
      <c r="L282" s="10"/>
      <c r="P282" s="11"/>
      <c r="Q282" s="6"/>
    </row>
    <row r="283" spans="1:17" s="7" customFormat="1" ht="66" customHeight="1" x14ac:dyDescent="0.25">
      <c r="A283" s="8"/>
      <c r="B283" s="9"/>
      <c r="C283" s="22" t="s">
        <v>58</v>
      </c>
      <c r="D283" s="24" t="s">
        <v>12</v>
      </c>
      <c r="E283" s="48">
        <v>42.3</v>
      </c>
      <c r="F283" s="48" t="s">
        <v>25</v>
      </c>
      <c r="L283" s="10"/>
      <c r="P283" s="11"/>
      <c r="Q283" s="6"/>
    </row>
    <row r="284" spans="1:17" s="7" customFormat="1" ht="66" customHeight="1" x14ac:dyDescent="0.25">
      <c r="A284" s="8"/>
      <c r="B284" s="9"/>
      <c r="C284" s="22" t="s">
        <v>143</v>
      </c>
      <c r="D284" s="24" t="s">
        <v>12</v>
      </c>
      <c r="E284" s="48">
        <v>8.89</v>
      </c>
      <c r="F284" s="48" t="s">
        <v>25</v>
      </c>
      <c r="L284" s="10"/>
      <c r="P284" s="11"/>
      <c r="Q284" s="6"/>
    </row>
    <row r="285" spans="1:17" s="7" customFormat="1" ht="66" customHeight="1" x14ac:dyDescent="0.25">
      <c r="A285" s="8"/>
      <c r="B285" s="9"/>
      <c r="C285" s="22" t="s">
        <v>61</v>
      </c>
      <c r="D285" s="24" t="s">
        <v>12</v>
      </c>
      <c r="E285" s="48">
        <v>46.67</v>
      </c>
      <c r="F285" s="48" t="s">
        <v>25</v>
      </c>
      <c r="L285" s="10"/>
      <c r="P285" s="11"/>
      <c r="Q285" s="6"/>
    </row>
    <row r="286" spans="1:17" s="7" customFormat="1" ht="66" customHeight="1" x14ac:dyDescent="0.25">
      <c r="A286" s="8"/>
      <c r="B286" s="9"/>
      <c r="C286" s="22" t="s">
        <v>64</v>
      </c>
      <c r="D286" s="24" t="s">
        <v>12</v>
      </c>
      <c r="E286" s="48">
        <v>58.56</v>
      </c>
      <c r="F286" s="48" t="s">
        <v>25</v>
      </c>
      <c r="L286" s="10"/>
      <c r="P286" s="11"/>
      <c r="Q286" s="6"/>
    </row>
    <row r="287" spans="1:17" s="7" customFormat="1" ht="66" customHeight="1" x14ac:dyDescent="0.25">
      <c r="A287" s="8"/>
      <c r="B287" s="9"/>
      <c r="C287" s="22" t="s">
        <v>65</v>
      </c>
      <c r="D287" s="24" t="s">
        <v>12</v>
      </c>
      <c r="E287" s="48">
        <v>18.489999999999998</v>
      </c>
      <c r="F287" s="48" t="s">
        <v>25</v>
      </c>
      <c r="L287" s="10"/>
      <c r="P287" s="11"/>
      <c r="Q287" s="6"/>
    </row>
    <row r="288" spans="1:17" s="7" customFormat="1" ht="66" customHeight="1" x14ac:dyDescent="0.25">
      <c r="A288" s="8"/>
      <c r="B288" s="9"/>
      <c r="C288" s="22" t="s">
        <v>66</v>
      </c>
      <c r="D288" s="24" t="s">
        <v>12</v>
      </c>
      <c r="E288" s="48">
        <v>117.12</v>
      </c>
      <c r="F288" s="48" t="s">
        <v>25</v>
      </c>
      <c r="L288" s="10"/>
      <c r="P288" s="11"/>
      <c r="Q288" s="6"/>
    </row>
    <row r="289" spans="1:17" s="7" customFormat="1" ht="66" customHeight="1" x14ac:dyDescent="0.25">
      <c r="A289" s="8"/>
      <c r="B289" s="9"/>
      <c r="C289" s="22" t="s">
        <v>70</v>
      </c>
      <c r="D289" s="24" t="s">
        <v>12</v>
      </c>
      <c r="E289" s="48">
        <v>45.94</v>
      </c>
      <c r="F289" s="48" t="s">
        <v>25</v>
      </c>
      <c r="L289" s="10"/>
      <c r="P289" s="11"/>
      <c r="Q289" s="6"/>
    </row>
    <row r="290" spans="1:17" s="7" customFormat="1" ht="66" customHeight="1" x14ac:dyDescent="0.25">
      <c r="A290" s="8"/>
      <c r="B290" s="9"/>
      <c r="C290" s="22"/>
      <c r="D290" s="24"/>
      <c r="E290" s="48"/>
      <c r="F290" s="48"/>
      <c r="G290" s="50"/>
      <c r="L290" s="10"/>
      <c r="P290" s="11"/>
      <c r="Q290" s="6"/>
    </row>
    <row r="291" spans="1:17" s="7" customFormat="1" ht="66" customHeight="1" x14ac:dyDescent="0.25">
      <c r="A291" s="8"/>
      <c r="B291" s="9"/>
      <c r="C291" s="52" t="s">
        <v>48</v>
      </c>
      <c r="D291" s="27" t="s">
        <v>12</v>
      </c>
      <c r="E291" s="26">
        <f>SUM(E277:E289)</f>
        <v>469.82</v>
      </c>
      <c r="F291" s="26" t="s">
        <v>25</v>
      </c>
      <c r="L291" s="10"/>
      <c r="P291" s="11"/>
      <c r="Q291" s="6"/>
    </row>
    <row r="292" spans="1:17" s="7" customFormat="1" ht="66" customHeight="1" x14ac:dyDescent="0.25">
      <c r="A292" s="8"/>
      <c r="B292" s="9"/>
      <c r="C292" s="52"/>
      <c r="D292" s="27"/>
      <c r="E292" s="26"/>
      <c r="F292" s="26"/>
      <c r="L292" s="10"/>
      <c r="P292" s="11"/>
      <c r="Q292" s="6"/>
    </row>
    <row r="293" spans="1:17" s="7" customFormat="1" ht="66" customHeight="1" x14ac:dyDescent="0.25">
      <c r="A293" s="8"/>
      <c r="B293" s="18" t="s">
        <v>146</v>
      </c>
      <c r="C293" s="19" t="str">
        <f>VLOOKUP($B293,[1]ORÇ_ANALITICO!$A$10:$K$137,2,0)</f>
        <v>05.007.0007-0</v>
      </c>
      <c r="D293" s="157" t="str">
        <f>VLOOKUP($C293,[1]ORÇ_ANALITICO!$B$10:$L$137,4,0)</f>
        <v>LOCACAO DE PASSARELA METALICA,PERFURADA,PARA ANDAIME METALICO TUBULAR,INCLUSIVE TRANSPORTE,CARGA E DESCARGA,EXCLUSIVE ANDAIME TUBULAR E MOVIMENTACAO (VIDE ITEM 05.008.0008)</v>
      </c>
      <c r="E293" s="157" t="e">
        <f>VLOOKUP(D293,[1]ORÇ_ANALITICO!C162:M261,2,0)</f>
        <v>#N/A</v>
      </c>
      <c r="F293" s="157" t="e">
        <f>VLOOKUP(E293,[1]ORÇ_ANALITICO!E162:N261,2,0)</f>
        <v>#N/A</v>
      </c>
      <c r="G293" s="157" t="e">
        <f>VLOOKUP(F293,[1]ORÇ_ANALITICO!F162:O261,2,0)</f>
        <v>#N/A</v>
      </c>
      <c r="H293" s="157" t="e">
        <f>VLOOKUP(G293,[1]ORÇ_ANALITICO!G162:P261,2,0)</f>
        <v>#N/A</v>
      </c>
      <c r="I293" s="157" t="e">
        <f>VLOOKUP(H293,[1]ORÇ_ANALITICO!H162:Q261,2,0)</f>
        <v>#N/A</v>
      </c>
      <c r="J293" s="157" t="e">
        <f>VLOOKUP(I293,[1]ORÇ_ANALITICO!I162:R261,2,0)</f>
        <v>#N/A</v>
      </c>
      <c r="K293" s="157" t="e">
        <f>VLOOKUP(J293,[1]ORÇ_ANALITICO!J162:S261,2,0)</f>
        <v>#N/A</v>
      </c>
      <c r="L293" s="157" t="e">
        <f>VLOOKUP(K293,[1]ORÇ_ANALITICO!K162:T261,2,0)</f>
        <v>#N/A</v>
      </c>
      <c r="M293" s="157" t="e">
        <f>VLOOKUP(L293,[1]ORÇ_ANALITICO!L162:U261,2,0)</f>
        <v>#N/A</v>
      </c>
      <c r="N293" s="157" t="e">
        <f>VLOOKUP(M293,[1]ORÇ_ANALITICO!M162:V261,2,0)</f>
        <v>#N/A</v>
      </c>
      <c r="O293" s="20" t="str">
        <f>VLOOKUP($C293,[1]ORÇ_ANALITICO!$B$10:$L$137,5,0)</f>
        <v>M2XMES</v>
      </c>
      <c r="P293" s="20">
        <f>I297</f>
        <v>50.65</v>
      </c>
      <c r="Q293" s="6"/>
    </row>
    <row r="294" spans="1:17" s="7" customFormat="1" ht="66" customHeight="1" x14ac:dyDescent="0.25">
      <c r="A294" s="8"/>
      <c r="B294" s="9"/>
      <c r="C294" s="52"/>
      <c r="D294" s="27"/>
      <c r="E294" s="26"/>
      <c r="F294" s="26"/>
      <c r="L294" s="10"/>
      <c r="P294" s="11"/>
      <c r="Q294" s="6"/>
    </row>
    <row r="295" spans="1:17" s="7" customFormat="1" ht="66" customHeight="1" x14ac:dyDescent="0.25">
      <c r="A295" s="8"/>
      <c r="B295" s="9"/>
      <c r="C295" s="22"/>
      <c r="D295" s="47"/>
      <c r="E295" s="22" t="s">
        <v>147</v>
      </c>
      <c r="F295" s="22"/>
      <c r="G295" s="22" t="s">
        <v>27</v>
      </c>
      <c r="H295" s="22"/>
      <c r="I295" s="22"/>
      <c r="J295" s="22"/>
      <c r="L295" s="10"/>
      <c r="P295" s="11"/>
      <c r="Q295" s="6"/>
    </row>
    <row r="296" spans="1:17" s="7" customFormat="1" ht="66" customHeight="1" x14ac:dyDescent="0.25">
      <c r="A296" s="8"/>
      <c r="B296" s="9"/>
      <c r="C296" s="10"/>
      <c r="L296" s="10"/>
      <c r="P296" s="11"/>
      <c r="Q296" s="6"/>
    </row>
    <row r="297" spans="1:17" s="7" customFormat="1" ht="66" customHeight="1" x14ac:dyDescent="0.25">
      <c r="A297" s="8"/>
      <c r="B297" s="9"/>
      <c r="C297" s="22" t="s">
        <v>148</v>
      </c>
      <c r="D297" s="24" t="s">
        <v>12</v>
      </c>
      <c r="E297" s="48">
        <f>E90</f>
        <v>50.65</v>
      </c>
      <c r="F297" s="24" t="s">
        <v>24</v>
      </c>
      <c r="G297" s="48">
        <v>1</v>
      </c>
      <c r="H297" s="24" t="s">
        <v>12</v>
      </c>
      <c r="I297" s="48">
        <f>E297*G297</f>
        <v>50.65</v>
      </c>
      <c r="J297" s="26" t="s">
        <v>25</v>
      </c>
      <c r="L297" s="10"/>
      <c r="P297" s="11"/>
      <c r="Q297" s="6"/>
    </row>
    <row r="298" spans="1:17" s="7" customFormat="1" ht="66" customHeight="1" x14ac:dyDescent="0.25">
      <c r="A298" s="8"/>
      <c r="B298" s="9"/>
      <c r="C298" s="52"/>
      <c r="D298" s="27"/>
      <c r="E298" s="26"/>
      <c r="F298" s="26"/>
      <c r="L298" s="10"/>
      <c r="P298" s="11"/>
      <c r="Q298" s="6"/>
    </row>
    <row r="299" spans="1:17" s="7" customFormat="1" ht="66" customHeight="1" x14ac:dyDescent="0.25">
      <c r="A299" s="8"/>
      <c r="B299" s="18" t="s">
        <v>149</v>
      </c>
      <c r="C299" s="19" t="str">
        <f>VLOOKUP($B299,[1]ORÇ_ANALITICO!$A$10:$K$137,2,0)</f>
        <v>05.008.0008-1</v>
      </c>
      <c r="D299" s="157" t="str">
        <f>VLOOKUP($C299,[1]ORÇ_ANALITICO!$B$10:$L$137,4,0)</f>
        <v>MOVIMENTACAO VERTICAL OU HORIZONTAL DE PLATAFORMA OU PASSARELA</v>
      </c>
      <c r="E299" s="157" t="e">
        <f>VLOOKUP(D299,[1]ORÇ_ANALITICO!C168:M267,2,0)</f>
        <v>#N/A</v>
      </c>
      <c r="F299" s="157" t="e">
        <f>VLOOKUP(E299,[1]ORÇ_ANALITICO!E168:N267,2,0)</f>
        <v>#N/A</v>
      </c>
      <c r="G299" s="157" t="e">
        <f>VLOOKUP(F299,[1]ORÇ_ANALITICO!F168:O267,2,0)</f>
        <v>#N/A</v>
      </c>
      <c r="H299" s="157" t="e">
        <f>VLOOKUP(G299,[1]ORÇ_ANALITICO!G168:P267,2,0)</f>
        <v>#N/A</v>
      </c>
      <c r="I299" s="157" t="e">
        <f>VLOOKUP(H299,[1]ORÇ_ANALITICO!H168:Q267,2,0)</f>
        <v>#N/A</v>
      </c>
      <c r="J299" s="157" t="e">
        <f>VLOOKUP(I299,[1]ORÇ_ANALITICO!I168:R267,2,0)</f>
        <v>#N/A</v>
      </c>
      <c r="K299" s="157" t="e">
        <f>VLOOKUP(J299,[1]ORÇ_ANALITICO!J168:S267,2,0)</f>
        <v>#N/A</v>
      </c>
      <c r="L299" s="157" t="e">
        <f>VLOOKUP(K299,[1]ORÇ_ANALITICO!K168:T267,2,0)</f>
        <v>#N/A</v>
      </c>
      <c r="M299" s="157" t="e">
        <f>VLOOKUP(L299,[1]ORÇ_ANALITICO!L168:U267,2,0)</f>
        <v>#N/A</v>
      </c>
      <c r="N299" s="157" t="e">
        <f>VLOOKUP(M299,[1]ORÇ_ANALITICO!M168:V267,2,0)</f>
        <v>#N/A</v>
      </c>
      <c r="O299" s="20" t="str">
        <f>VLOOKUP($C299,[1]ORÇ_ANALITICO!$B$10:$L$137,5,0)</f>
        <v>M2</v>
      </c>
      <c r="P299" s="20">
        <f>K302</f>
        <v>861.8</v>
      </c>
      <c r="Q299" s="6"/>
    </row>
    <row r="300" spans="1:17" s="7" customFormat="1" ht="66" customHeight="1" x14ac:dyDescent="0.25">
      <c r="A300" s="8"/>
      <c r="B300" s="9"/>
      <c r="C300" s="52"/>
      <c r="D300" s="27"/>
      <c r="E300" s="26"/>
      <c r="F300" s="26"/>
      <c r="L300" s="10"/>
      <c r="P300" s="11"/>
      <c r="Q300" s="6"/>
    </row>
    <row r="301" spans="1:17" s="7" customFormat="1" ht="66" customHeight="1" x14ac:dyDescent="0.25">
      <c r="A301" s="8"/>
      <c r="B301" s="9"/>
      <c r="C301" s="52"/>
      <c r="D301" s="27"/>
      <c r="E301" s="26"/>
      <c r="F301" s="26"/>
      <c r="L301" s="10"/>
      <c r="P301" s="11"/>
      <c r="Q301" s="6"/>
    </row>
    <row r="302" spans="1:17" s="7" customFormat="1" ht="66" customHeight="1" x14ac:dyDescent="0.25">
      <c r="A302" s="8"/>
      <c r="B302" s="9"/>
      <c r="C302" s="22" t="s">
        <v>150</v>
      </c>
      <c r="D302" s="24" t="s">
        <v>12</v>
      </c>
      <c r="E302" s="69">
        <f>E105</f>
        <v>430.9</v>
      </c>
      <c r="F302" s="35" t="s">
        <v>151</v>
      </c>
      <c r="G302" s="70">
        <f>G297</f>
        <v>1</v>
      </c>
      <c r="H302" s="35" t="s">
        <v>151</v>
      </c>
      <c r="I302" s="71">
        <v>2</v>
      </c>
      <c r="J302" s="72" t="s">
        <v>12</v>
      </c>
      <c r="K302" s="73">
        <f>TRUNC(G302*I302*E302,2)</f>
        <v>861.8</v>
      </c>
      <c r="L302" s="10"/>
      <c r="P302" s="11"/>
      <c r="Q302" s="6"/>
    </row>
    <row r="303" spans="1:17" s="7" customFormat="1" ht="66" customHeight="1" x14ac:dyDescent="0.25">
      <c r="A303" s="8"/>
      <c r="B303" s="9"/>
      <c r="C303" s="52"/>
      <c r="D303" s="27"/>
      <c r="E303" s="26"/>
      <c r="F303" s="26"/>
      <c r="L303" s="10"/>
      <c r="P303" s="11"/>
      <c r="Q303" s="6"/>
    </row>
    <row r="304" spans="1:17" s="7" customFormat="1" ht="66" customHeight="1" x14ac:dyDescent="0.25">
      <c r="A304" s="8"/>
      <c r="B304" s="18" t="s">
        <v>152</v>
      </c>
      <c r="C304" s="19" t="str">
        <f>VLOOKUP($B304,[1]ORÇ_ANALITICO!$A$10:$K$137,2,0)</f>
        <v>05.001.0171-0</v>
      </c>
      <c r="D304" s="157" t="str">
        <f>VLOOKUP($C304,[1]ORÇ_ANALITICO!$B$10:$L$137,4,0)</f>
        <v>TRANSPORTE HORIZONTAL DE MATERIAL DE 1ªCATEGORIA OU ENTULHO,EM CARRINHOS,A 20,00M DE DISTANCIA,INCLUSIVE CARGA A PA</v>
      </c>
      <c r="E304" s="157" t="e">
        <f>VLOOKUP(D304,[1]ORÇ_ANALITICO!C173:M272,2,0)</f>
        <v>#N/A</v>
      </c>
      <c r="F304" s="157" t="e">
        <f>VLOOKUP(E304,[1]ORÇ_ANALITICO!E173:N272,2,0)</f>
        <v>#N/A</v>
      </c>
      <c r="G304" s="157" t="e">
        <f>VLOOKUP(F304,[1]ORÇ_ANALITICO!F173:O272,2,0)</f>
        <v>#N/A</v>
      </c>
      <c r="H304" s="157" t="e">
        <f>VLOOKUP(G304,[1]ORÇ_ANALITICO!G173:P272,2,0)</f>
        <v>#N/A</v>
      </c>
      <c r="I304" s="157" t="e">
        <f>VLOOKUP(H304,[1]ORÇ_ANALITICO!H173:Q272,2,0)</f>
        <v>#N/A</v>
      </c>
      <c r="J304" s="157" t="e">
        <f>VLOOKUP(I304,[1]ORÇ_ANALITICO!I173:R272,2,0)</f>
        <v>#N/A</v>
      </c>
      <c r="K304" s="157" t="e">
        <f>VLOOKUP(J304,[1]ORÇ_ANALITICO!J173:S272,2,0)</f>
        <v>#N/A</v>
      </c>
      <c r="L304" s="157" t="e">
        <f>VLOOKUP(K304,[1]ORÇ_ANALITICO!K173:T272,2,0)</f>
        <v>#N/A</v>
      </c>
      <c r="M304" s="157" t="e">
        <f>VLOOKUP(L304,[1]ORÇ_ANALITICO!L173:U272,2,0)</f>
        <v>#N/A</v>
      </c>
      <c r="N304" s="157" t="e">
        <f>VLOOKUP(M304,[1]ORÇ_ANALITICO!M173:V272,2,0)</f>
        <v>#N/A</v>
      </c>
      <c r="O304" s="20" t="str">
        <f>VLOOKUP($C304,[1]ORÇ_ANALITICO!$B$10:$L$137,5,0)</f>
        <v>M3</v>
      </c>
      <c r="P304" s="20">
        <f>L313</f>
        <v>24.45</v>
      </c>
      <c r="Q304" s="6"/>
    </row>
    <row r="305" spans="1:17" s="7" customFormat="1" ht="66" customHeight="1" x14ac:dyDescent="0.25">
      <c r="A305" s="8"/>
      <c r="B305" s="9"/>
      <c r="C305" s="52"/>
      <c r="D305" s="27"/>
      <c r="E305" s="26"/>
      <c r="F305" s="26"/>
      <c r="L305" s="10"/>
      <c r="P305" s="11"/>
      <c r="Q305" s="6"/>
    </row>
    <row r="306" spans="1:17" s="7" customFormat="1" ht="66" customHeight="1" x14ac:dyDescent="0.25">
      <c r="A306" s="8"/>
      <c r="B306" s="9"/>
      <c r="C306" s="52"/>
      <c r="D306" s="27"/>
      <c r="E306" s="40" t="s">
        <v>153</v>
      </c>
      <c r="F306" s="40" t="str">
        <f>B108</f>
        <v>4.3</v>
      </c>
      <c r="G306" s="74" t="s">
        <v>12</v>
      </c>
      <c r="H306" s="75">
        <f>P108</f>
        <v>516.95000000000005</v>
      </c>
      <c r="I306" s="74" t="s">
        <v>24</v>
      </c>
      <c r="J306" s="69">
        <v>0.01</v>
      </c>
      <c r="K306" s="74" t="s">
        <v>12</v>
      </c>
      <c r="L306" s="76">
        <f>TRUNC(H306*J306,2)</f>
        <v>5.16</v>
      </c>
      <c r="P306" s="11"/>
      <c r="Q306" s="6"/>
    </row>
    <row r="307" spans="1:17" s="7" customFormat="1" ht="66" customHeight="1" x14ac:dyDescent="0.25">
      <c r="A307" s="8"/>
      <c r="B307" s="9"/>
      <c r="C307" s="52"/>
      <c r="D307" s="27"/>
      <c r="E307" s="40" t="s">
        <v>153</v>
      </c>
      <c r="F307" s="40" t="str">
        <f>B131</f>
        <v>4.4</v>
      </c>
      <c r="G307" s="74" t="s">
        <v>12</v>
      </c>
      <c r="H307" s="75">
        <f>N160</f>
        <v>153.44000000000003</v>
      </c>
      <c r="I307" s="74" t="s">
        <v>24</v>
      </c>
      <c r="J307" s="69">
        <v>0.05</v>
      </c>
      <c r="K307" s="74" t="s">
        <v>12</v>
      </c>
      <c r="L307" s="76">
        <f>TRUNC(H307*J307,2)</f>
        <v>7.67</v>
      </c>
      <c r="P307" s="11"/>
      <c r="Q307" s="6"/>
    </row>
    <row r="308" spans="1:17" s="7" customFormat="1" ht="66" customHeight="1" x14ac:dyDescent="0.25">
      <c r="A308" s="8"/>
      <c r="B308" s="9"/>
      <c r="C308" s="52"/>
      <c r="D308" s="27"/>
      <c r="E308" s="40" t="s">
        <v>153</v>
      </c>
      <c r="F308" s="40" t="str">
        <f>B163</f>
        <v>4.5</v>
      </c>
      <c r="G308" s="74" t="s">
        <v>12</v>
      </c>
      <c r="H308" s="75">
        <f>P163</f>
        <v>151.24500000000003</v>
      </c>
      <c r="I308" s="74" t="s">
        <v>24</v>
      </c>
      <c r="J308" s="69">
        <v>0.01</v>
      </c>
      <c r="K308" s="74" t="s">
        <v>12</v>
      </c>
      <c r="L308" s="76">
        <f>TRUNC(H308*J308,2)</f>
        <v>1.51</v>
      </c>
      <c r="P308" s="11"/>
      <c r="Q308" s="6"/>
    </row>
    <row r="309" spans="1:17" s="7" customFormat="1" ht="66" customHeight="1" x14ac:dyDescent="0.25">
      <c r="A309" s="8"/>
      <c r="B309" s="9"/>
      <c r="C309" s="52"/>
      <c r="D309" s="27"/>
      <c r="E309" s="40" t="s">
        <v>153</v>
      </c>
      <c r="F309" s="40" t="str">
        <f>B198</f>
        <v>4.6</v>
      </c>
      <c r="G309" s="74" t="s">
        <v>12</v>
      </c>
      <c r="H309" s="75">
        <f>P198</f>
        <v>5.7792000000000012</v>
      </c>
      <c r="I309" s="74" t="s">
        <v>24</v>
      </c>
      <c r="J309" s="69">
        <v>0.01</v>
      </c>
      <c r="K309" s="74" t="s">
        <v>12</v>
      </c>
      <c r="L309" s="76">
        <f>TRUNC(H309*J309,2)</f>
        <v>0.05</v>
      </c>
      <c r="P309" s="11"/>
      <c r="Q309" s="6"/>
    </row>
    <row r="310" spans="1:17" s="7" customFormat="1" ht="66" customHeight="1" x14ac:dyDescent="0.25">
      <c r="A310" s="8"/>
      <c r="B310" s="9"/>
      <c r="C310" s="52"/>
      <c r="D310" s="27"/>
      <c r="E310" s="40" t="s">
        <v>153</v>
      </c>
      <c r="F310" s="40" t="str">
        <f>B218</f>
        <v>4.7</v>
      </c>
      <c r="G310" s="74" t="s">
        <v>12</v>
      </c>
      <c r="H310" s="75">
        <f>P218</f>
        <v>221.25749999999999</v>
      </c>
      <c r="I310" s="74" t="s">
        <v>24</v>
      </c>
      <c r="J310" s="69">
        <v>0.02</v>
      </c>
      <c r="K310" s="74" t="s">
        <v>12</v>
      </c>
      <c r="L310" s="76">
        <f>TRUNC(H310*J310,2)</f>
        <v>4.42</v>
      </c>
      <c r="P310" s="11"/>
      <c r="Q310" s="6"/>
    </row>
    <row r="311" spans="1:17" s="7" customFormat="1" ht="66" customHeight="1" x14ac:dyDescent="0.25">
      <c r="A311" s="8"/>
      <c r="B311" s="9"/>
      <c r="C311" s="52"/>
      <c r="D311" s="27"/>
      <c r="E311" s="26"/>
      <c r="F311" s="26"/>
      <c r="I311" s="167" t="s">
        <v>154</v>
      </c>
      <c r="J311" s="167"/>
      <c r="K311" s="74" t="s">
        <v>12</v>
      </c>
      <c r="L311" s="77">
        <f>SUM(L306:L310)</f>
        <v>18.810000000000002</v>
      </c>
      <c r="P311" s="11"/>
      <c r="Q311" s="6"/>
    </row>
    <row r="312" spans="1:17" s="7" customFormat="1" ht="66" customHeight="1" x14ac:dyDescent="0.25">
      <c r="A312" s="8"/>
      <c r="B312" s="9"/>
      <c r="C312" s="52"/>
      <c r="D312" s="27"/>
      <c r="E312" s="26"/>
      <c r="F312" s="26"/>
      <c r="I312" s="166" t="s">
        <v>155</v>
      </c>
      <c r="J312" s="166"/>
      <c r="K312" s="74" t="s">
        <v>12</v>
      </c>
      <c r="L312" s="10">
        <v>1.3</v>
      </c>
      <c r="P312" s="11"/>
      <c r="Q312" s="6"/>
    </row>
    <row r="313" spans="1:17" s="7" customFormat="1" ht="66" customHeight="1" x14ac:dyDescent="0.25">
      <c r="A313" s="8"/>
      <c r="B313" s="9"/>
      <c r="C313" s="52"/>
      <c r="D313" s="27"/>
      <c r="E313" s="26"/>
      <c r="F313" s="26"/>
      <c r="I313" s="166" t="s">
        <v>48</v>
      </c>
      <c r="J313" s="166"/>
      <c r="K313" s="74" t="s">
        <v>12</v>
      </c>
      <c r="L313" s="10">
        <f>ROUND(L311*L312,2)</f>
        <v>24.45</v>
      </c>
      <c r="P313" s="11"/>
      <c r="Q313" s="6"/>
    </row>
    <row r="314" spans="1:17" s="7" customFormat="1" ht="66" customHeight="1" x14ac:dyDescent="0.25">
      <c r="A314" s="8"/>
      <c r="B314" s="9"/>
      <c r="C314" s="52"/>
      <c r="D314" s="27"/>
      <c r="E314" s="26"/>
      <c r="F314" s="26"/>
      <c r="I314" s="166" t="s">
        <v>156</v>
      </c>
      <c r="J314" s="166"/>
      <c r="K314" s="74" t="s">
        <v>12</v>
      </c>
      <c r="L314" s="10">
        <f>ROUNDUP(L313/5,0)</f>
        <v>5</v>
      </c>
      <c r="P314" s="11"/>
      <c r="Q314" s="6"/>
    </row>
    <row r="315" spans="1:17" s="7" customFormat="1" ht="66" customHeight="1" x14ac:dyDescent="0.25">
      <c r="A315" s="8"/>
      <c r="B315" s="9"/>
      <c r="C315" s="52"/>
      <c r="D315" s="27"/>
      <c r="E315" s="26"/>
      <c r="F315" s="26"/>
      <c r="L315" s="10"/>
      <c r="P315" s="11"/>
      <c r="Q315" s="6"/>
    </row>
    <row r="316" spans="1:17" s="7" customFormat="1" ht="66" customHeight="1" x14ac:dyDescent="0.25">
      <c r="A316" s="8"/>
      <c r="B316" s="18" t="s">
        <v>157</v>
      </c>
      <c r="C316" s="19" t="str">
        <f>VLOOKUP($B316,[1]ORÇ_ANALITICO!$A$10:$K$137,2,0)</f>
        <v>06.016.0053-0</v>
      </c>
      <c r="D316" s="157" t="str">
        <f>VLOOKUP($C316,[1]ORÇ_ANALITICO!$B$10:$L$137,4,0)</f>
        <v>GRELHA PARA CANALETA DE FERRO FUNDIDO,COM CAIXILHO,COM (40X100)CM,CONFORME ABNT NBR 10160.FORNECIMENTO E ASSENTAMENTO</v>
      </c>
      <c r="E316" s="157" t="e">
        <f>VLOOKUP(D316,[1]ORÇ_ANALITICO!C185:M284,2,0)</f>
        <v>#N/A</v>
      </c>
      <c r="F316" s="157" t="e">
        <f>VLOOKUP(E316,[1]ORÇ_ANALITICO!E185:N284,2,0)</f>
        <v>#N/A</v>
      </c>
      <c r="G316" s="157" t="e">
        <f>VLOOKUP(F316,[1]ORÇ_ANALITICO!F185:O284,2,0)</f>
        <v>#N/A</v>
      </c>
      <c r="H316" s="157" t="e">
        <f>VLOOKUP(G316,[1]ORÇ_ANALITICO!G185:P284,2,0)</f>
        <v>#N/A</v>
      </c>
      <c r="I316" s="157" t="e">
        <f>VLOOKUP(H316,[1]ORÇ_ANALITICO!H185:Q284,2,0)</f>
        <v>#N/A</v>
      </c>
      <c r="J316" s="157" t="e">
        <f>VLOOKUP(I316,[1]ORÇ_ANALITICO!I185:R284,2,0)</f>
        <v>#N/A</v>
      </c>
      <c r="K316" s="157" t="e">
        <f>VLOOKUP(J316,[1]ORÇ_ANALITICO!J185:S284,2,0)</f>
        <v>#N/A</v>
      </c>
      <c r="L316" s="157" t="e">
        <f>VLOOKUP(K316,[1]ORÇ_ANALITICO!K185:T284,2,0)</f>
        <v>#N/A</v>
      </c>
      <c r="M316" s="157" t="e">
        <f>VLOOKUP(L316,[1]ORÇ_ANALITICO!L185:U284,2,0)</f>
        <v>#N/A</v>
      </c>
      <c r="N316" s="157" t="e">
        <f>VLOOKUP(M316,[1]ORÇ_ANALITICO!M185:V284,2,0)</f>
        <v>#N/A</v>
      </c>
      <c r="O316" s="20" t="str">
        <f>VLOOKUP($C316,[1]ORÇ_ANALITICO!$B$10:$L$137,5,0)</f>
        <v>M</v>
      </c>
      <c r="P316" s="20">
        <f>E319</f>
        <v>10.75</v>
      </c>
      <c r="Q316" s="6"/>
    </row>
    <row r="317" spans="1:17" s="7" customFormat="1" ht="66" customHeight="1" x14ac:dyDescent="0.25">
      <c r="A317" s="8"/>
      <c r="B317" s="9"/>
      <c r="C317" s="52"/>
      <c r="D317" s="27"/>
      <c r="E317" s="26"/>
      <c r="F317" s="26"/>
      <c r="L317" s="10"/>
      <c r="P317" s="11"/>
      <c r="Q317" s="6"/>
    </row>
    <row r="318" spans="1:17" s="7" customFormat="1" ht="66" customHeight="1" x14ac:dyDescent="0.25">
      <c r="A318" s="8"/>
      <c r="B318" s="9"/>
      <c r="C318" s="52"/>
      <c r="D318" s="27"/>
      <c r="E318" s="26"/>
      <c r="F318" s="26"/>
      <c r="L318" s="10"/>
      <c r="P318" s="11"/>
      <c r="Q318" s="6"/>
    </row>
    <row r="319" spans="1:17" s="7" customFormat="1" ht="66" customHeight="1" x14ac:dyDescent="0.25">
      <c r="A319" s="8"/>
      <c r="B319" s="9"/>
      <c r="C319" s="22" t="s">
        <v>52</v>
      </c>
      <c r="D319" s="24" t="s">
        <v>12</v>
      </c>
      <c r="E319" s="26">
        <v>10.75</v>
      </c>
      <c r="F319" s="26" t="s">
        <v>158</v>
      </c>
      <c r="G319" s="78"/>
      <c r="H319" s="79"/>
      <c r="L319" s="10"/>
      <c r="P319" s="11"/>
      <c r="Q319" s="6"/>
    </row>
    <row r="320" spans="1:17" s="7" customFormat="1" ht="66" customHeight="1" x14ac:dyDescent="0.25">
      <c r="A320" s="8"/>
      <c r="B320" s="9"/>
      <c r="C320" s="52"/>
      <c r="D320" s="27"/>
      <c r="E320" s="26"/>
      <c r="F320" s="26"/>
      <c r="L320" s="10"/>
      <c r="P320" s="11"/>
      <c r="Q320" s="6"/>
    </row>
    <row r="321" spans="1:17" s="7" customFormat="1" ht="66" customHeight="1" x14ac:dyDescent="0.25">
      <c r="A321" s="8"/>
      <c r="B321" s="18" t="s">
        <v>159</v>
      </c>
      <c r="C321" s="19" t="str">
        <f>VLOOKUP($B321,[1]ORÇ_ANALITICO!$A$10:$K$137,2,0)</f>
        <v>05.054.0015-0</v>
      </c>
      <c r="D321" s="157" t="str">
        <f>VLOOKUP($C321,[1]ORÇ_ANALITICO!$B$10:$L$137,4,0)</f>
        <v>PLACA DE ACRILICO,DESENHADA,INDICANDO SANITARIO MASCULINO OUFEMININO,DE (39X19)CM.FORNECIMENTO E COLOCACAO</v>
      </c>
      <c r="E321" s="157" t="e">
        <f>VLOOKUP(D321,[1]ORÇ_ANALITICO!C190:M289,2,0)</f>
        <v>#N/A</v>
      </c>
      <c r="F321" s="157" t="e">
        <f>VLOOKUP(E321,[1]ORÇ_ANALITICO!E190:N289,2,0)</f>
        <v>#N/A</v>
      </c>
      <c r="G321" s="157" t="e">
        <f>VLOOKUP(F321,[1]ORÇ_ANALITICO!F190:O289,2,0)</f>
        <v>#N/A</v>
      </c>
      <c r="H321" s="157" t="e">
        <f>VLOOKUP(G321,[1]ORÇ_ANALITICO!G190:P289,2,0)</f>
        <v>#N/A</v>
      </c>
      <c r="I321" s="157" t="e">
        <f>VLOOKUP(H321,[1]ORÇ_ANALITICO!H190:Q289,2,0)</f>
        <v>#N/A</v>
      </c>
      <c r="J321" s="157" t="e">
        <f>VLOOKUP(I321,[1]ORÇ_ANALITICO!I190:R289,2,0)</f>
        <v>#N/A</v>
      </c>
      <c r="K321" s="157" t="e">
        <f>VLOOKUP(J321,[1]ORÇ_ANALITICO!J190:S289,2,0)</f>
        <v>#N/A</v>
      </c>
      <c r="L321" s="157" t="e">
        <f>VLOOKUP(K321,[1]ORÇ_ANALITICO!K190:T289,2,0)</f>
        <v>#N/A</v>
      </c>
      <c r="M321" s="157" t="e">
        <f>VLOOKUP(L321,[1]ORÇ_ANALITICO!L190:U289,2,0)</f>
        <v>#N/A</v>
      </c>
      <c r="N321" s="157" t="e">
        <f>VLOOKUP(M321,[1]ORÇ_ANALITICO!M190:V289,2,0)</f>
        <v>#N/A</v>
      </c>
      <c r="O321" s="20" t="str">
        <f>VLOOKUP($C321,[1]ORÇ_ANALITICO!$B$10:$L$137,5,0)</f>
        <v>UN</v>
      </c>
      <c r="P321" s="20">
        <f>E332</f>
        <v>6</v>
      </c>
      <c r="Q321" s="6"/>
    </row>
    <row r="322" spans="1:17" s="7" customFormat="1" ht="66" customHeight="1" x14ac:dyDescent="0.25">
      <c r="A322" s="8"/>
      <c r="B322" s="9"/>
      <c r="C322" s="52"/>
      <c r="D322" s="27"/>
      <c r="E322" s="26"/>
      <c r="F322" s="26"/>
      <c r="L322" s="10"/>
      <c r="P322" s="11"/>
      <c r="Q322" s="6"/>
    </row>
    <row r="323" spans="1:17" s="7" customFormat="1" ht="66" customHeight="1" x14ac:dyDescent="0.25">
      <c r="A323" s="8"/>
      <c r="B323" s="9"/>
      <c r="C323" s="22"/>
      <c r="D323" s="24"/>
      <c r="E323" s="48" t="s">
        <v>75</v>
      </c>
      <c r="F323" s="48"/>
      <c r="L323" s="10"/>
      <c r="P323" s="11"/>
      <c r="Q323" s="6"/>
    </row>
    <row r="324" spans="1:17" s="7" customFormat="1" ht="66" customHeight="1" x14ac:dyDescent="0.25">
      <c r="A324" s="8"/>
      <c r="B324" s="9"/>
      <c r="C324" s="22"/>
      <c r="D324" s="24"/>
      <c r="E324" s="48"/>
      <c r="F324" s="48"/>
      <c r="L324" s="10"/>
      <c r="P324" s="11"/>
      <c r="Q324" s="6"/>
    </row>
    <row r="325" spans="1:17" s="7" customFormat="1" ht="66" customHeight="1" x14ac:dyDescent="0.25">
      <c r="A325" s="8"/>
      <c r="B325" s="9"/>
      <c r="C325" s="22" t="s">
        <v>123</v>
      </c>
      <c r="D325" s="24" t="s">
        <v>12</v>
      </c>
      <c r="E325" s="48">
        <v>1</v>
      </c>
      <c r="F325" s="48" t="s">
        <v>77</v>
      </c>
      <c r="L325" s="10"/>
      <c r="P325" s="11"/>
      <c r="Q325" s="6"/>
    </row>
    <row r="326" spans="1:17" s="7" customFormat="1" ht="66" customHeight="1" x14ac:dyDescent="0.25">
      <c r="A326" s="8"/>
      <c r="B326" s="9"/>
      <c r="C326" s="22" t="s">
        <v>106</v>
      </c>
      <c r="D326" s="24" t="s">
        <v>12</v>
      </c>
      <c r="E326" s="48">
        <v>1</v>
      </c>
      <c r="F326" s="48" t="s">
        <v>77</v>
      </c>
      <c r="L326" s="10"/>
      <c r="P326" s="11"/>
      <c r="Q326" s="6"/>
    </row>
    <row r="327" spans="1:17" s="7" customFormat="1" ht="66" customHeight="1" x14ac:dyDescent="0.25">
      <c r="A327" s="8"/>
      <c r="B327" s="9"/>
      <c r="C327" s="22" t="s">
        <v>107</v>
      </c>
      <c r="D327" s="24" t="s">
        <v>12</v>
      </c>
      <c r="E327" s="48">
        <v>1</v>
      </c>
      <c r="F327" s="48" t="s">
        <v>77</v>
      </c>
      <c r="L327" s="10"/>
      <c r="P327" s="11"/>
      <c r="Q327" s="6"/>
    </row>
    <row r="328" spans="1:17" s="7" customFormat="1" ht="66" customHeight="1" x14ac:dyDescent="0.25">
      <c r="A328" s="8"/>
      <c r="B328" s="9"/>
      <c r="C328" s="22" t="s">
        <v>67</v>
      </c>
      <c r="D328" s="24" t="s">
        <v>12</v>
      </c>
      <c r="E328" s="48">
        <v>1</v>
      </c>
      <c r="F328" s="48" t="s">
        <v>77</v>
      </c>
      <c r="L328" s="10"/>
      <c r="P328" s="11"/>
      <c r="Q328" s="6"/>
    </row>
    <row r="329" spans="1:17" s="7" customFormat="1" ht="66" customHeight="1" x14ac:dyDescent="0.25">
      <c r="A329" s="8"/>
      <c r="B329" s="9"/>
      <c r="C329" s="22" t="s">
        <v>109</v>
      </c>
      <c r="D329" s="24" t="s">
        <v>12</v>
      </c>
      <c r="E329" s="48">
        <v>1</v>
      </c>
      <c r="F329" s="48" t="s">
        <v>77</v>
      </c>
      <c r="L329" s="10"/>
      <c r="P329" s="11"/>
      <c r="Q329" s="6"/>
    </row>
    <row r="330" spans="1:17" s="7" customFormat="1" ht="66" customHeight="1" x14ac:dyDescent="0.25">
      <c r="A330" s="8"/>
      <c r="B330" s="9"/>
      <c r="C330" s="22" t="s">
        <v>110</v>
      </c>
      <c r="D330" s="24" t="s">
        <v>12</v>
      </c>
      <c r="E330" s="48">
        <v>1</v>
      </c>
      <c r="F330" s="48" t="s">
        <v>77</v>
      </c>
      <c r="L330" s="10"/>
      <c r="P330" s="11"/>
      <c r="Q330" s="6"/>
    </row>
    <row r="331" spans="1:17" s="7" customFormat="1" ht="66" customHeight="1" x14ac:dyDescent="0.25">
      <c r="A331" s="8"/>
      <c r="B331" s="9"/>
      <c r="C331" s="22"/>
      <c r="D331" s="24"/>
      <c r="E331" s="48"/>
      <c r="F331" s="48"/>
      <c r="L331" s="10"/>
      <c r="P331" s="11"/>
      <c r="Q331" s="6"/>
    </row>
    <row r="332" spans="1:17" s="7" customFormat="1" ht="66" customHeight="1" x14ac:dyDescent="0.25">
      <c r="A332" s="8"/>
      <c r="B332" s="9"/>
      <c r="C332" s="52" t="s">
        <v>48</v>
      </c>
      <c r="D332" s="27" t="s">
        <v>12</v>
      </c>
      <c r="E332" s="26">
        <f>SUM(E325:E330)</f>
        <v>6</v>
      </c>
      <c r="F332" s="26" t="s">
        <v>77</v>
      </c>
      <c r="L332" s="10"/>
      <c r="P332" s="11"/>
      <c r="Q332" s="6"/>
    </row>
    <row r="333" spans="1:17" s="7" customFormat="1" ht="66" customHeight="1" x14ac:dyDescent="0.25">
      <c r="A333" s="8"/>
      <c r="B333" s="9"/>
      <c r="C333" s="52"/>
      <c r="D333" s="27"/>
      <c r="E333" s="26"/>
      <c r="F333" s="26"/>
      <c r="L333" s="10"/>
      <c r="P333" s="11"/>
      <c r="Q333" s="6"/>
    </row>
    <row r="334" spans="1:17" s="7" customFormat="1" ht="66" customHeight="1" x14ac:dyDescent="0.25">
      <c r="A334" s="8"/>
      <c r="B334" s="18" t="s">
        <v>160</v>
      </c>
      <c r="C334" s="19" t="str">
        <f>VLOOKUP($B334,[1]ORÇ_ANALITICO!$A$10:$K$137,2,0)</f>
        <v>05.054.0001-0</v>
      </c>
      <c r="D334" s="157" t="str">
        <f>VLOOKUP($C334,[1]ORÇ_ANALITICO!$B$10:$L$137,4,0)</f>
        <v>PLACA DE ACRILICO PARA IDENTIFICACAO DE PORTAS,MEDINDO (25X8)CM.FORNECIMENTO E COLOCACAO</v>
      </c>
      <c r="E334" s="157" t="e">
        <f>VLOOKUP(D334,[1]ORÇ_ANALITICO!C203:M302,2,0)</f>
        <v>#N/A</v>
      </c>
      <c r="F334" s="157" t="e">
        <f>VLOOKUP(E334,[1]ORÇ_ANALITICO!E203:N302,2,0)</f>
        <v>#N/A</v>
      </c>
      <c r="G334" s="157" t="e">
        <f>VLOOKUP(F334,[1]ORÇ_ANALITICO!F203:O302,2,0)</f>
        <v>#N/A</v>
      </c>
      <c r="H334" s="157" t="e">
        <f>VLOOKUP(G334,[1]ORÇ_ANALITICO!G203:P302,2,0)</f>
        <v>#N/A</v>
      </c>
      <c r="I334" s="157" t="e">
        <f>VLOOKUP(H334,[1]ORÇ_ANALITICO!H203:Q302,2,0)</f>
        <v>#N/A</v>
      </c>
      <c r="J334" s="157" t="e">
        <f>VLOOKUP(I334,[1]ORÇ_ANALITICO!I203:R302,2,0)</f>
        <v>#N/A</v>
      </c>
      <c r="K334" s="157" t="e">
        <f>VLOOKUP(J334,[1]ORÇ_ANALITICO!J203:S302,2,0)</f>
        <v>#N/A</v>
      </c>
      <c r="L334" s="157" t="e">
        <f>VLOOKUP(K334,[1]ORÇ_ANALITICO!K203:T302,2,0)</f>
        <v>#N/A</v>
      </c>
      <c r="M334" s="157" t="e">
        <f>VLOOKUP(L334,[1]ORÇ_ANALITICO!L203:U302,2,0)</f>
        <v>#N/A</v>
      </c>
      <c r="N334" s="157" t="e">
        <f>VLOOKUP(M334,[1]ORÇ_ANALITICO!M203:V302,2,0)</f>
        <v>#N/A</v>
      </c>
      <c r="O334" s="20" t="str">
        <f>VLOOKUP($C334,[1]ORÇ_ANALITICO!$B$10:$L$137,5,0)</f>
        <v>UN</v>
      </c>
      <c r="P334" s="20">
        <f>E357</f>
        <v>18</v>
      </c>
      <c r="Q334" s="6"/>
    </row>
    <row r="335" spans="1:17" s="7" customFormat="1" ht="66" customHeight="1" x14ac:dyDescent="0.25">
      <c r="A335" s="8"/>
      <c r="B335" s="9"/>
      <c r="C335" s="52"/>
      <c r="D335" s="27"/>
      <c r="E335" s="26"/>
      <c r="F335" s="26"/>
      <c r="L335" s="10"/>
      <c r="P335" s="11"/>
      <c r="Q335" s="6"/>
    </row>
    <row r="336" spans="1:17" s="7" customFormat="1" ht="66" customHeight="1" x14ac:dyDescent="0.25">
      <c r="A336" s="8"/>
      <c r="B336" s="9"/>
      <c r="C336" s="22"/>
      <c r="D336" s="24"/>
      <c r="E336" s="48" t="s">
        <v>75</v>
      </c>
      <c r="F336" s="48"/>
      <c r="L336" s="10"/>
      <c r="P336" s="11"/>
      <c r="Q336" s="6"/>
    </row>
    <row r="337" spans="1:17" s="7" customFormat="1" ht="66" customHeight="1" x14ac:dyDescent="0.25">
      <c r="A337" s="8"/>
      <c r="B337" s="9"/>
      <c r="C337" s="22"/>
      <c r="D337" s="24"/>
      <c r="E337" s="48"/>
      <c r="F337" s="48"/>
      <c r="L337" s="10"/>
      <c r="P337" s="11"/>
      <c r="Q337" s="6"/>
    </row>
    <row r="338" spans="1:17" s="7" customFormat="1" ht="66" customHeight="1" x14ac:dyDescent="0.25">
      <c r="A338" s="8"/>
      <c r="B338" s="9"/>
      <c r="C338" s="22" t="s">
        <v>137</v>
      </c>
      <c r="D338" s="24" t="s">
        <v>12</v>
      </c>
      <c r="E338" s="48">
        <v>1</v>
      </c>
      <c r="F338" s="48" t="s">
        <v>77</v>
      </c>
      <c r="L338" s="10"/>
      <c r="P338" s="11"/>
      <c r="Q338" s="6"/>
    </row>
    <row r="339" spans="1:17" s="7" customFormat="1" ht="66" customHeight="1" x14ac:dyDescent="0.25">
      <c r="A339" s="8"/>
      <c r="B339" s="9"/>
      <c r="C339" s="22" t="s">
        <v>138</v>
      </c>
      <c r="D339" s="24" t="s">
        <v>12</v>
      </c>
      <c r="E339" s="48">
        <v>1</v>
      </c>
      <c r="F339" s="48" t="s">
        <v>77</v>
      </c>
      <c r="L339" s="10"/>
      <c r="P339" s="11"/>
      <c r="Q339" s="6"/>
    </row>
    <row r="340" spans="1:17" s="7" customFormat="1" ht="66" customHeight="1" x14ac:dyDescent="0.25">
      <c r="A340" s="8"/>
      <c r="B340" s="9"/>
      <c r="C340" s="22" t="s">
        <v>139</v>
      </c>
      <c r="D340" s="24" t="s">
        <v>12</v>
      </c>
      <c r="E340" s="48">
        <v>1</v>
      </c>
      <c r="F340" s="48" t="s">
        <v>77</v>
      </c>
      <c r="L340" s="10"/>
      <c r="P340" s="11"/>
      <c r="Q340" s="6"/>
    </row>
    <row r="341" spans="1:17" s="7" customFormat="1" ht="66" customHeight="1" x14ac:dyDescent="0.25">
      <c r="A341" s="8"/>
      <c r="B341" s="9"/>
      <c r="C341" s="22" t="s">
        <v>124</v>
      </c>
      <c r="D341" s="24" t="s">
        <v>12</v>
      </c>
      <c r="E341" s="48">
        <v>1</v>
      </c>
      <c r="F341" s="48" t="s">
        <v>77</v>
      </c>
      <c r="L341" s="10"/>
      <c r="P341" s="11"/>
      <c r="Q341" s="6"/>
    </row>
    <row r="342" spans="1:17" s="7" customFormat="1" ht="66" customHeight="1" x14ac:dyDescent="0.25">
      <c r="A342" s="8"/>
      <c r="B342" s="9"/>
      <c r="C342" s="22" t="s">
        <v>104</v>
      </c>
      <c r="D342" s="24" t="s">
        <v>12</v>
      </c>
      <c r="E342" s="48">
        <v>1</v>
      </c>
      <c r="F342" s="48" t="s">
        <v>77</v>
      </c>
      <c r="L342" s="10"/>
      <c r="P342" s="11"/>
      <c r="Q342" s="6"/>
    </row>
    <row r="343" spans="1:17" s="7" customFormat="1" ht="66" customHeight="1" x14ac:dyDescent="0.25">
      <c r="A343" s="8"/>
      <c r="B343" s="9"/>
      <c r="C343" s="22" t="s">
        <v>140</v>
      </c>
      <c r="D343" s="24" t="s">
        <v>12</v>
      </c>
      <c r="E343" s="48">
        <v>1</v>
      </c>
      <c r="F343" s="48" t="s">
        <v>77</v>
      </c>
      <c r="L343" s="10"/>
      <c r="P343" s="11"/>
      <c r="Q343" s="6"/>
    </row>
    <row r="344" spans="1:17" s="7" customFormat="1" ht="66" customHeight="1" x14ac:dyDescent="0.25">
      <c r="A344" s="8"/>
      <c r="B344" s="9"/>
      <c r="C344" s="22" t="s">
        <v>142</v>
      </c>
      <c r="D344" s="24" t="s">
        <v>12</v>
      </c>
      <c r="E344" s="48">
        <v>1</v>
      </c>
      <c r="F344" s="48" t="s">
        <v>77</v>
      </c>
      <c r="L344" s="10"/>
      <c r="P344" s="11"/>
      <c r="Q344" s="6"/>
    </row>
    <row r="345" spans="1:17" s="7" customFormat="1" ht="66" customHeight="1" x14ac:dyDescent="0.25">
      <c r="A345" s="8"/>
      <c r="B345" s="9"/>
      <c r="C345" s="22" t="s">
        <v>161</v>
      </c>
      <c r="D345" s="24" t="s">
        <v>12</v>
      </c>
      <c r="E345" s="48">
        <v>1</v>
      </c>
      <c r="F345" s="48" t="s">
        <v>77</v>
      </c>
      <c r="L345" s="10"/>
      <c r="P345" s="11"/>
      <c r="Q345" s="6"/>
    </row>
    <row r="346" spans="1:17" s="7" customFormat="1" ht="66" customHeight="1" x14ac:dyDescent="0.25">
      <c r="A346" s="8"/>
      <c r="B346" s="9"/>
      <c r="C346" s="22" t="s">
        <v>58</v>
      </c>
      <c r="D346" s="24" t="s">
        <v>12</v>
      </c>
      <c r="E346" s="48">
        <v>1</v>
      </c>
      <c r="F346" s="48" t="s">
        <v>77</v>
      </c>
      <c r="L346" s="10"/>
      <c r="P346" s="11"/>
      <c r="Q346" s="6"/>
    </row>
    <row r="347" spans="1:17" s="7" customFormat="1" ht="66" customHeight="1" x14ac:dyDescent="0.25">
      <c r="A347" s="8"/>
      <c r="B347" s="9"/>
      <c r="C347" s="22" t="s">
        <v>61</v>
      </c>
      <c r="D347" s="24" t="s">
        <v>12</v>
      </c>
      <c r="E347" s="48">
        <v>1</v>
      </c>
      <c r="F347" s="48" t="s">
        <v>77</v>
      </c>
      <c r="L347" s="10"/>
      <c r="P347" s="11"/>
      <c r="Q347" s="6"/>
    </row>
    <row r="348" spans="1:17" s="7" customFormat="1" ht="66" customHeight="1" x14ac:dyDescent="0.25">
      <c r="A348" s="8"/>
      <c r="B348" s="9"/>
      <c r="C348" s="22" t="s">
        <v>62</v>
      </c>
      <c r="D348" s="24" t="s">
        <v>12</v>
      </c>
      <c r="E348" s="48">
        <v>1</v>
      </c>
      <c r="F348" s="48" t="s">
        <v>77</v>
      </c>
      <c r="L348" s="10"/>
      <c r="P348" s="11"/>
      <c r="Q348" s="6"/>
    </row>
    <row r="349" spans="1:17" s="7" customFormat="1" ht="66" customHeight="1" x14ac:dyDescent="0.25">
      <c r="A349" s="8"/>
      <c r="B349" s="9"/>
      <c r="C349" s="22" t="s">
        <v>64</v>
      </c>
      <c r="D349" s="24" t="s">
        <v>12</v>
      </c>
      <c r="E349" s="48">
        <v>1</v>
      </c>
      <c r="F349" s="48" t="s">
        <v>77</v>
      </c>
      <c r="L349" s="10"/>
      <c r="P349" s="11"/>
      <c r="Q349" s="6"/>
    </row>
    <row r="350" spans="1:17" s="7" customFormat="1" ht="66" customHeight="1" x14ac:dyDescent="0.25">
      <c r="A350" s="8"/>
      <c r="B350" s="9"/>
      <c r="C350" s="22" t="s">
        <v>65</v>
      </c>
      <c r="D350" s="24" t="s">
        <v>12</v>
      </c>
      <c r="E350" s="48">
        <v>1</v>
      </c>
      <c r="F350" s="48" t="s">
        <v>77</v>
      </c>
      <c r="L350" s="10"/>
      <c r="P350" s="11"/>
      <c r="Q350" s="6"/>
    </row>
    <row r="351" spans="1:17" s="7" customFormat="1" ht="66" customHeight="1" x14ac:dyDescent="0.25">
      <c r="A351" s="8"/>
      <c r="B351" s="9"/>
      <c r="C351" s="22" t="s">
        <v>66</v>
      </c>
      <c r="D351" s="24" t="s">
        <v>12</v>
      </c>
      <c r="E351" s="48">
        <v>1</v>
      </c>
      <c r="F351" s="48" t="s">
        <v>77</v>
      </c>
      <c r="L351" s="10"/>
      <c r="P351" s="11"/>
      <c r="Q351" s="6"/>
    </row>
    <row r="352" spans="1:17" s="7" customFormat="1" ht="66" customHeight="1" x14ac:dyDescent="0.25">
      <c r="A352" s="8"/>
      <c r="B352" s="9"/>
      <c r="C352" s="22" t="s">
        <v>70</v>
      </c>
      <c r="D352" s="24" t="s">
        <v>12</v>
      </c>
      <c r="E352" s="48">
        <v>1</v>
      </c>
      <c r="F352" s="48" t="s">
        <v>77</v>
      </c>
      <c r="L352" s="10"/>
      <c r="P352" s="11"/>
      <c r="Q352" s="6"/>
    </row>
    <row r="353" spans="1:17" s="7" customFormat="1" ht="66" customHeight="1" x14ac:dyDescent="0.25">
      <c r="A353" s="8"/>
      <c r="B353" s="9"/>
      <c r="C353" s="22" t="s">
        <v>71</v>
      </c>
      <c r="D353" s="24" t="s">
        <v>12</v>
      </c>
      <c r="E353" s="48">
        <v>1</v>
      </c>
      <c r="F353" s="48" t="s">
        <v>77</v>
      </c>
      <c r="L353" s="10"/>
      <c r="P353" s="11"/>
      <c r="Q353" s="6"/>
    </row>
    <row r="354" spans="1:17" s="7" customFormat="1" ht="66" customHeight="1" x14ac:dyDescent="0.25">
      <c r="A354" s="8"/>
      <c r="B354" s="9"/>
      <c r="C354" s="22" t="s">
        <v>72</v>
      </c>
      <c r="D354" s="24" t="s">
        <v>12</v>
      </c>
      <c r="E354" s="48">
        <v>1</v>
      </c>
      <c r="F354" s="48" t="s">
        <v>77</v>
      </c>
      <c r="L354" s="10"/>
      <c r="P354" s="11"/>
      <c r="Q354" s="6"/>
    </row>
    <row r="355" spans="1:17" s="7" customFormat="1" ht="66" customHeight="1" x14ac:dyDescent="0.25">
      <c r="A355" s="8"/>
      <c r="B355" s="9"/>
      <c r="C355" s="22" t="s">
        <v>125</v>
      </c>
      <c r="D355" s="24" t="s">
        <v>12</v>
      </c>
      <c r="E355" s="48">
        <v>1</v>
      </c>
      <c r="F355" s="48" t="s">
        <v>77</v>
      </c>
      <c r="L355" s="10"/>
      <c r="P355" s="11"/>
      <c r="Q355" s="6"/>
    </row>
    <row r="356" spans="1:17" s="7" customFormat="1" ht="66" customHeight="1" x14ac:dyDescent="0.25">
      <c r="A356" s="8"/>
      <c r="B356" s="9"/>
      <c r="C356" s="22"/>
      <c r="D356" s="24"/>
      <c r="E356" s="48"/>
      <c r="F356" s="48"/>
      <c r="L356" s="10"/>
      <c r="P356" s="11"/>
      <c r="Q356" s="6"/>
    </row>
    <row r="357" spans="1:17" s="7" customFormat="1" ht="66" customHeight="1" x14ac:dyDescent="0.25">
      <c r="A357" s="8"/>
      <c r="B357" s="9"/>
      <c r="C357" s="52" t="s">
        <v>48</v>
      </c>
      <c r="D357" s="27" t="s">
        <v>12</v>
      </c>
      <c r="E357" s="26">
        <f>SUM(E338:E355)</f>
        <v>18</v>
      </c>
      <c r="F357" s="26" t="s">
        <v>77</v>
      </c>
      <c r="L357" s="10"/>
      <c r="P357" s="11"/>
      <c r="Q357" s="6"/>
    </row>
    <row r="358" spans="1:17" s="7" customFormat="1" ht="66" customHeight="1" x14ac:dyDescent="0.25">
      <c r="A358" s="8"/>
      <c r="B358" s="9"/>
      <c r="C358" s="52"/>
      <c r="D358" s="27"/>
      <c r="E358" s="26"/>
      <c r="F358" s="26"/>
      <c r="L358" s="10"/>
      <c r="P358" s="11"/>
      <c r="Q358" s="6"/>
    </row>
    <row r="359" spans="1:17" s="7" customFormat="1" ht="66" customHeight="1" x14ac:dyDescent="0.25">
      <c r="A359" s="8"/>
      <c r="B359" s="165" t="str">
        <f>[1]ORÇ_ANALITICO!B42</f>
        <v>REVESTIMENTOS</v>
      </c>
      <c r="C359" s="165"/>
      <c r="D359" s="165"/>
      <c r="E359" s="165"/>
      <c r="F359" s="165"/>
      <c r="G359" s="165"/>
      <c r="H359" s="165"/>
      <c r="I359" s="165"/>
      <c r="J359" s="165"/>
      <c r="K359" s="165"/>
      <c r="L359" s="165"/>
      <c r="M359" s="165"/>
      <c r="N359" s="165"/>
      <c r="O359" s="165"/>
      <c r="P359" s="165"/>
      <c r="Q359" s="6"/>
    </row>
    <row r="360" spans="1:17" s="7" customFormat="1" ht="66" customHeight="1" x14ac:dyDescent="0.25">
      <c r="A360" s="8"/>
      <c r="B360" s="18" t="s">
        <v>162</v>
      </c>
      <c r="C360" s="19" t="str">
        <f>VLOOKUP($B360,[1]ORÇ_ANALITICO!$A$10:$K$137,2,0)</f>
        <v>13.195.0015-0</v>
      </c>
      <c r="D360" s="157" t="str">
        <f>VLOOKUP($C360,[1]ORÇ_ANALITICO!$B$10:$L$137,4,0)</f>
        <v>FORRO DE TABUAS DE MADEIRA MACHO-FEMEA,COM (10X1)CM,PREGADOEM SARRAFOS DE MADEIRA DE (2X10)CM,ESPACADOS DE 50CM.FORNECIMENTO E COLOCACAO</v>
      </c>
      <c r="E360" s="157" t="e">
        <f>VLOOKUP(D360,[1]ORÇ_ANALITICO!C229:M328,2,0)</f>
        <v>#N/A</v>
      </c>
      <c r="F360" s="157" t="e">
        <f>VLOOKUP(E360,[1]ORÇ_ANALITICO!E229:N328,2,0)</f>
        <v>#N/A</v>
      </c>
      <c r="G360" s="157" t="e">
        <f>VLOOKUP(F360,[1]ORÇ_ANALITICO!F229:O328,2,0)</f>
        <v>#N/A</v>
      </c>
      <c r="H360" s="157" t="e">
        <f>VLOOKUP(G360,[1]ORÇ_ANALITICO!G229:P328,2,0)</f>
        <v>#N/A</v>
      </c>
      <c r="I360" s="157" t="e">
        <f>VLOOKUP(H360,[1]ORÇ_ANALITICO!H229:Q328,2,0)</f>
        <v>#N/A</v>
      </c>
      <c r="J360" s="157" t="e">
        <f>VLOOKUP(I360,[1]ORÇ_ANALITICO!I229:R328,2,0)</f>
        <v>#N/A</v>
      </c>
      <c r="K360" s="157" t="e">
        <f>VLOOKUP(J360,[1]ORÇ_ANALITICO!J229:S328,2,0)</f>
        <v>#N/A</v>
      </c>
      <c r="L360" s="157" t="e">
        <f>VLOOKUP(K360,[1]ORÇ_ANALITICO!K229:T328,2,0)</f>
        <v>#N/A</v>
      </c>
      <c r="M360" s="157" t="e">
        <f>VLOOKUP(L360,[1]ORÇ_ANALITICO!L229:U328,2,0)</f>
        <v>#N/A</v>
      </c>
      <c r="N360" s="157" t="e">
        <f>VLOOKUP(M360,[1]ORÇ_ANALITICO!M229:V328,2,0)</f>
        <v>#N/A</v>
      </c>
      <c r="O360" s="20" t="str">
        <f>VLOOKUP($C360,[1]ORÇ_ANALITICO!$B$10:$L$137,5,0)</f>
        <v>M2</v>
      </c>
      <c r="P360" s="20">
        <f>E378</f>
        <v>516.95000000000005</v>
      </c>
      <c r="Q360" s="6"/>
    </row>
    <row r="361" spans="1:17" s="7" customFormat="1" ht="66" customHeight="1" x14ac:dyDescent="0.25">
      <c r="A361" s="8"/>
      <c r="B361" s="9"/>
      <c r="C361" s="52"/>
      <c r="D361" s="27"/>
      <c r="E361" s="26"/>
      <c r="F361" s="26"/>
      <c r="L361" s="10"/>
      <c r="P361" s="11"/>
      <c r="Q361" s="6"/>
    </row>
    <row r="362" spans="1:17" s="7" customFormat="1" ht="66" customHeight="1" x14ac:dyDescent="0.25">
      <c r="A362" s="8"/>
      <c r="B362" s="9"/>
      <c r="C362" s="22" t="s">
        <v>58</v>
      </c>
      <c r="D362" s="24" t="s">
        <v>12</v>
      </c>
      <c r="E362" s="48">
        <v>42.3</v>
      </c>
      <c r="F362" s="48" t="s">
        <v>25</v>
      </c>
      <c r="L362" s="10"/>
      <c r="P362" s="11"/>
      <c r="Q362" s="6"/>
    </row>
    <row r="363" spans="1:17" s="7" customFormat="1" ht="66" customHeight="1" x14ac:dyDescent="0.25">
      <c r="A363" s="8"/>
      <c r="B363" s="9"/>
      <c r="C363" s="22" t="s">
        <v>59</v>
      </c>
      <c r="D363" s="24" t="s">
        <v>12</v>
      </c>
      <c r="E363" s="48">
        <v>41.1</v>
      </c>
      <c r="F363" s="48" t="s">
        <v>25</v>
      </c>
      <c r="L363" s="10"/>
      <c r="P363" s="11"/>
      <c r="Q363" s="6"/>
    </row>
    <row r="364" spans="1:17" s="7" customFormat="1" ht="66" customHeight="1" x14ac:dyDescent="0.25">
      <c r="A364" s="8"/>
      <c r="B364" s="9"/>
      <c r="C364" s="22" t="s">
        <v>60</v>
      </c>
      <c r="D364" s="24" t="s">
        <v>12</v>
      </c>
      <c r="E364" s="48">
        <v>17.41</v>
      </c>
      <c r="F364" s="48" t="s">
        <v>25</v>
      </c>
      <c r="L364" s="10"/>
      <c r="P364" s="11"/>
      <c r="Q364" s="6"/>
    </row>
    <row r="365" spans="1:17" s="7" customFormat="1" ht="66" customHeight="1" x14ac:dyDescent="0.25">
      <c r="A365" s="8"/>
      <c r="B365" s="9"/>
      <c r="C365" s="22" t="s">
        <v>61</v>
      </c>
      <c r="D365" s="24" t="s">
        <v>12</v>
      </c>
      <c r="E365" s="48">
        <v>46.67</v>
      </c>
      <c r="F365" s="48" t="s">
        <v>25</v>
      </c>
      <c r="L365" s="10"/>
      <c r="P365" s="11"/>
      <c r="Q365" s="6"/>
    </row>
    <row r="366" spans="1:17" s="7" customFormat="1" ht="66" customHeight="1" x14ac:dyDescent="0.25">
      <c r="A366" s="8"/>
      <c r="B366" s="9"/>
      <c r="C366" s="22" t="s">
        <v>62</v>
      </c>
      <c r="D366" s="24" t="s">
        <v>12</v>
      </c>
      <c r="E366" s="48">
        <v>15.59</v>
      </c>
      <c r="F366" s="48" t="s">
        <v>25</v>
      </c>
      <c r="L366" s="10"/>
      <c r="P366" s="11"/>
      <c r="Q366" s="6"/>
    </row>
    <row r="367" spans="1:17" s="7" customFormat="1" ht="66" customHeight="1" x14ac:dyDescent="0.25">
      <c r="A367" s="8"/>
      <c r="B367" s="9"/>
      <c r="C367" s="22" t="s">
        <v>63</v>
      </c>
      <c r="D367" s="24" t="s">
        <v>12</v>
      </c>
      <c r="E367" s="48">
        <v>59.05</v>
      </c>
      <c r="F367" s="48" t="s">
        <v>25</v>
      </c>
      <c r="L367" s="10"/>
      <c r="P367" s="11"/>
      <c r="Q367" s="6"/>
    </row>
    <row r="368" spans="1:17" s="7" customFormat="1" ht="66" customHeight="1" x14ac:dyDescent="0.25">
      <c r="A368" s="8"/>
      <c r="B368" s="9"/>
      <c r="C368" s="22" t="s">
        <v>64</v>
      </c>
      <c r="D368" s="24" t="s">
        <v>12</v>
      </c>
      <c r="E368" s="48">
        <v>58.56</v>
      </c>
      <c r="F368" s="48" t="s">
        <v>25</v>
      </c>
      <c r="L368" s="10"/>
      <c r="P368" s="11"/>
      <c r="Q368" s="6"/>
    </row>
    <row r="369" spans="1:17" s="7" customFormat="1" ht="66" customHeight="1" x14ac:dyDescent="0.25">
      <c r="A369" s="8"/>
      <c r="B369" s="9"/>
      <c r="C369" s="22" t="s">
        <v>65</v>
      </c>
      <c r="D369" s="24" t="s">
        <v>12</v>
      </c>
      <c r="E369" s="48">
        <v>18.489999999999998</v>
      </c>
      <c r="F369" s="48" t="s">
        <v>25</v>
      </c>
      <c r="L369" s="10"/>
      <c r="P369" s="11"/>
      <c r="Q369" s="6"/>
    </row>
    <row r="370" spans="1:17" s="7" customFormat="1" ht="66" customHeight="1" x14ac:dyDescent="0.25">
      <c r="A370" s="8"/>
      <c r="B370" s="9"/>
      <c r="C370" s="22" t="s">
        <v>66</v>
      </c>
      <c r="D370" s="24" t="s">
        <v>12</v>
      </c>
      <c r="E370" s="48">
        <v>117.12</v>
      </c>
      <c r="F370" s="48" t="s">
        <v>25</v>
      </c>
      <c r="L370" s="10"/>
      <c r="P370" s="11"/>
      <c r="Q370" s="6"/>
    </row>
    <row r="371" spans="1:17" s="7" customFormat="1" ht="66" customHeight="1" x14ac:dyDescent="0.25">
      <c r="A371" s="8"/>
      <c r="B371" s="9"/>
      <c r="C371" s="22" t="s">
        <v>67</v>
      </c>
      <c r="D371" s="24" t="s">
        <v>12</v>
      </c>
      <c r="E371" s="48">
        <v>5.98</v>
      </c>
      <c r="F371" s="48" t="s">
        <v>25</v>
      </c>
      <c r="L371" s="10"/>
      <c r="P371" s="11"/>
      <c r="Q371" s="6"/>
    </row>
    <row r="372" spans="1:17" s="7" customFormat="1" ht="66" customHeight="1" x14ac:dyDescent="0.25">
      <c r="A372" s="8"/>
      <c r="B372" s="9"/>
      <c r="C372" s="22" t="s">
        <v>68</v>
      </c>
      <c r="D372" s="24" t="s">
        <v>12</v>
      </c>
      <c r="E372" s="48">
        <v>8.41</v>
      </c>
      <c r="F372" s="48" t="s">
        <v>25</v>
      </c>
      <c r="L372" s="10"/>
      <c r="P372" s="11"/>
      <c r="Q372" s="6"/>
    </row>
    <row r="373" spans="1:17" s="7" customFormat="1" ht="66" customHeight="1" x14ac:dyDescent="0.25">
      <c r="A373" s="8"/>
      <c r="B373" s="9"/>
      <c r="C373" s="22" t="s">
        <v>69</v>
      </c>
      <c r="D373" s="24" t="s">
        <v>12</v>
      </c>
      <c r="E373" s="48">
        <v>7.82</v>
      </c>
      <c r="F373" s="48" t="s">
        <v>25</v>
      </c>
      <c r="L373" s="10"/>
      <c r="P373" s="11"/>
      <c r="Q373" s="6"/>
    </row>
    <row r="374" spans="1:17" s="7" customFormat="1" ht="66" customHeight="1" x14ac:dyDescent="0.25">
      <c r="A374" s="8"/>
      <c r="B374" s="9"/>
      <c r="C374" s="22" t="s">
        <v>70</v>
      </c>
      <c r="D374" s="24" t="s">
        <v>12</v>
      </c>
      <c r="E374" s="48">
        <v>45.94</v>
      </c>
      <c r="F374" s="48" t="s">
        <v>25</v>
      </c>
      <c r="L374" s="10"/>
      <c r="P374" s="11"/>
      <c r="Q374" s="6"/>
    </row>
    <row r="375" spans="1:17" s="7" customFormat="1" ht="66" customHeight="1" x14ac:dyDescent="0.25">
      <c r="A375" s="8"/>
      <c r="B375" s="9"/>
      <c r="C375" s="22" t="s">
        <v>71</v>
      </c>
      <c r="D375" s="24" t="s">
        <v>12</v>
      </c>
      <c r="E375" s="48">
        <v>20.27</v>
      </c>
      <c r="F375" s="48" t="s">
        <v>25</v>
      </c>
      <c r="L375" s="10"/>
      <c r="P375" s="11"/>
      <c r="Q375" s="6"/>
    </row>
    <row r="376" spans="1:17" s="7" customFormat="1" ht="66" customHeight="1" x14ac:dyDescent="0.25">
      <c r="A376" s="8"/>
      <c r="B376" s="9"/>
      <c r="C376" s="22" t="s">
        <v>72</v>
      </c>
      <c r="D376" s="24" t="s">
        <v>12</v>
      </c>
      <c r="E376" s="48">
        <v>12.24</v>
      </c>
      <c r="F376" s="48" t="s">
        <v>25</v>
      </c>
      <c r="L376" s="10"/>
      <c r="P376" s="11"/>
      <c r="Q376" s="6"/>
    </row>
    <row r="377" spans="1:17" s="7" customFormat="1" ht="66" customHeight="1" x14ac:dyDescent="0.25">
      <c r="A377" s="8"/>
      <c r="B377" s="9"/>
      <c r="C377" s="22"/>
      <c r="D377" s="24"/>
      <c r="E377" s="48"/>
      <c r="F377" s="48"/>
      <c r="L377" s="10"/>
      <c r="P377" s="11"/>
      <c r="Q377" s="6"/>
    </row>
    <row r="378" spans="1:17" s="7" customFormat="1" ht="66" customHeight="1" x14ac:dyDescent="0.25">
      <c r="A378" s="8"/>
      <c r="B378" s="9"/>
      <c r="C378" s="52" t="s">
        <v>48</v>
      </c>
      <c r="D378" s="27" t="s">
        <v>12</v>
      </c>
      <c r="E378" s="26">
        <f>SUM(E362:E376)</f>
        <v>516.95000000000005</v>
      </c>
      <c r="F378" s="26" t="s">
        <v>25</v>
      </c>
      <c r="L378" s="10"/>
      <c r="P378" s="11"/>
      <c r="Q378" s="6"/>
    </row>
    <row r="379" spans="1:17" s="7" customFormat="1" ht="66" customHeight="1" x14ac:dyDescent="0.25">
      <c r="A379" s="8"/>
      <c r="B379" s="9"/>
      <c r="C379" s="52"/>
      <c r="D379" s="27"/>
      <c r="E379" s="26"/>
      <c r="F379" s="26"/>
      <c r="L379" s="10"/>
      <c r="P379" s="11"/>
      <c r="Q379" s="6"/>
    </row>
    <row r="380" spans="1:17" s="7" customFormat="1" ht="66" customHeight="1" x14ac:dyDescent="0.25">
      <c r="A380" s="8"/>
      <c r="B380" s="18" t="s">
        <v>163</v>
      </c>
      <c r="C380" s="19" t="str">
        <f>VLOOKUP($B380,[1]ORÇ_ANALITICO!$A$10:$K$137,2,0)</f>
        <v>13.030.0291-0</v>
      </c>
      <c r="D380" s="157" t="str">
        <f>VLOOKUP($C380,[1]ORÇ_ANALITICO!$B$10:$L$137,4,0)</f>
        <v>REVESTIMENTO DE PAREDES COM CERAMICA,COM MEDIDAS EM TORNO DE(32X57)CM,ASSENTE CONFORME ITEM 13.025.0058</v>
      </c>
      <c r="E380" s="157" t="e">
        <f>VLOOKUP(D380,[1]ORÇ_ANALITICO!C249:M348,2,0)</f>
        <v>#N/A</v>
      </c>
      <c r="F380" s="157" t="e">
        <f>VLOOKUP(E380,[1]ORÇ_ANALITICO!E249:N348,2,0)</f>
        <v>#N/A</v>
      </c>
      <c r="G380" s="157" t="e">
        <f>VLOOKUP(F380,[1]ORÇ_ANALITICO!F249:O348,2,0)</f>
        <v>#N/A</v>
      </c>
      <c r="H380" s="157" t="e">
        <f>VLOOKUP(G380,[1]ORÇ_ANALITICO!G249:P348,2,0)</f>
        <v>#N/A</v>
      </c>
      <c r="I380" s="157" t="e">
        <f>VLOOKUP(H380,[1]ORÇ_ANALITICO!H249:Q348,2,0)</f>
        <v>#N/A</v>
      </c>
      <c r="J380" s="157" t="e">
        <f>VLOOKUP(I380,[1]ORÇ_ANALITICO!I249:R348,2,0)</f>
        <v>#N/A</v>
      </c>
      <c r="K380" s="157" t="e">
        <f>VLOOKUP(J380,[1]ORÇ_ANALITICO!J249:S348,2,0)</f>
        <v>#N/A</v>
      </c>
      <c r="L380" s="157" t="e">
        <f>VLOOKUP(K380,[1]ORÇ_ANALITICO!K249:T348,2,0)</f>
        <v>#N/A</v>
      </c>
      <c r="M380" s="157" t="e">
        <f>VLOOKUP(L380,[1]ORÇ_ANALITICO!L249:U348,2,0)</f>
        <v>#N/A</v>
      </c>
      <c r="N380" s="157" t="e">
        <f>VLOOKUP(M380,[1]ORÇ_ANALITICO!M249:V348,2,0)</f>
        <v>#N/A</v>
      </c>
      <c r="O380" s="20" t="str">
        <f>VLOOKUP($C380,[1]ORÇ_ANALITICO!$B$10:$L$137,5,0)</f>
        <v>M2</v>
      </c>
      <c r="P380" s="20">
        <f>I412</f>
        <v>151.24500000000003</v>
      </c>
      <c r="Q380" s="6"/>
    </row>
    <row r="381" spans="1:17" s="7" customFormat="1" ht="66" customHeight="1" x14ac:dyDescent="0.25">
      <c r="A381" s="8"/>
      <c r="B381" s="9"/>
      <c r="C381" s="52"/>
      <c r="D381" s="27"/>
      <c r="E381" s="26"/>
      <c r="F381" s="26"/>
      <c r="L381" s="10"/>
      <c r="P381" s="11"/>
      <c r="Q381" s="6"/>
    </row>
    <row r="382" spans="1:17" s="7" customFormat="1" ht="66" customHeight="1" x14ac:dyDescent="0.25">
      <c r="A382" s="8"/>
      <c r="B382" s="9"/>
      <c r="C382" s="22"/>
      <c r="D382" s="24"/>
      <c r="E382" s="48" t="s">
        <v>103</v>
      </c>
      <c r="F382" s="48"/>
      <c r="G382" s="56" t="s">
        <v>23</v>
      </c>
      <c r="H382" s="56"/>
      <c r="I382" s="66"/>
      <c r="J382" s="66"/>
      <c r="L382" s="10"/>
      <c r="P382" s="11"/>
      <c r="Q382" s="6"/>
    </row>
    <row r="383" spans="1:17" s="7" customFormat="1" ht="66" customHeight="1" x14ac:dyDescent="0.25">
      <c r="A383" s="8"/>
      <c r="B383" s="9"/>
      <c r="C383" s="22"/>
      <c r="D383" s="24"/>
      <c r="E383" s="48"/>
      <c r="F383" s="48"/>
      <c r="G383" s="56"/>
      <c r="H383" s="56"/>
      <c r="I383" s="66"/>
      <c r="J383" s="66"/>
      <c r="L383" s="10"/>
      <c r="P383" s="11"/>
      <c r="Q383" s="6"/>
    </row>
    <row r="384" spans="1:17" s="7" customFormat="1" ht="66" customHeight="1" x14ac:dyDescent="0.25">
      <c r="A384" s="8"/>
      <c r="B384" s="9"/>
      <c r="C384" s="22" t="s">
        <v>104</v>
      </c>
      <c r="D384" s="24" t="s">
        <v>12</v>
      </c>
      <c r="E384" s="48">
        <f>14.6</f>
        <v>14.6</v>
      </c>
      <c r="F384" s="48" t="s">
        <v>24</v>
      </c>
      <c r="G384" s="56">
        <v>1.2</v>
      </c>
      <c r="H384" s="56" t="s">
        <v>12</v>
      </c>
      <c r="I384" s="56">
        <f>E384*G384</f>
        <v>17.52</v>
      </c>
      <c r="J384" s="56" t="s">
        <v>25</v>
      </c>
      <c r="L384" s="10"/>
      <c r="P384" s="11"/>
      <c r="Q384" s="6"/>
    </row>
    <row r="385" spans="1:17" s="7" customFormat="1" ht="66" customHeight="1" x14ac:dyDescent="0.25">
      <c r="A385" s="8"/>
      <c r="B385" s="9"/>
      <c r="C385" s="22" t="s">
        <v>105</v>
      </c>
      <c r="D385" s="24" t="s">
        <v>12</v>
      </c>
      <c r="E385" s="48">
        <f>9.4</f>
        <v>9.4</v>
      </c>
      <c r="F385" s="48" t="s">
        <v>24</v>
      </c>
      <c r="G385" s="56">
        <v>1.5</v>
      </c>
      <c r="H385" s="56" t="s">
        <v>12</v>
      </c>
      <c r="I385" s="56">
        <f t="shared" ref="I385:I392" si="7">E385*G385</f>
        <v>14.100000000000001</v>
      </c>
      <c r="J385" s="56" t="s">
        <v>25</v>
      </c>
      <c r="L385" s="10"/>
      <c r="P385" s="11"/>
      <c r="Q385" s="6"/>
    </row>
    <row r="386" spans="1:17" s="7" customFormat="1" ht="66" customHeight="1" x14ac:dyDescent="0.25">
      <c r="A386" s="8"/>
      <c r="B386" s="9"/>
      <c r="C386" s="22" t="s">
        <v>106</v>
      </c>
      <c r="D386" s="24" t="s">
        <v>12</v>
      </c>
      <c r="E386" s="48">
        <f>11</f>
        <v>11</v>
      </c>
      <c r="F386" s="48" t="s">
        <v>24</v>
      </c>
      <c r="G386" s="56">
        <v>1.5</v>
      </c>
      <c r="H386" s="56" t="s">
        <v>12</v>
      </c>
      <c r="I386" s="56">
        <f t="shared" si="7"/>
        <v>16.5</v>
      </c>
      <c r="J386" s="56" t="s">
        <v>25</v>
      </c>
      <c r="L386" s="10"/>
      <c r="P386" s="11"/>
      <c r="Q386" s="6"/>
    </row>
    <row r="387" spans="1:17" s="7" customFormat="1" ht="66" customHeight="1" x14ac:dyDescent="0.25">
      <c r="A387" s="8"/>
      <c r="B387" s="9"/>
      <c r="C387" s="22" t="s">
        <v>107</v>
      </c>
      <c r="D387" s="24" t="s">
        <v>12</v>
      </c>
      <c r="E387" s="48">
        <f>10.89</f>
        <v>10.89</v>
      </c>
      <c r="F387" s="48" t="s">
        <v>24</v>
      </c>
      <c r="G387" s="56">
        <v>1.5</v>
      </c>
      <c r="H387" s="56" t="s">
        <v>12</v>
      </c>
      <c r="I387" s="56">
        <f t="shared" si="7"/>
        <v>16.335000000000001</v>
      </c>
      <c r="J387" s="56" t="s">
        <v>25</v>
      </c>
      <c r="L387" s="10"/>
      <c r="P387" s="11"/>
      <c r="Q387" s="6"/>
    </row>
    <row r="388" spans="1:17" s="7" customFormat="1" ht="66" customHeight="1" x14ac:dyDescent="0.25">
      <c r="A388" s="8"/>
      <c r="B388" s="9"/>
      <c r="C388" s="22" t="s">
        <v>108</v>
      </c>
      <c r="D388" s="24" t="s">
        <v>12</v>
      </c>
      <c r="E388" s="48">
        <f>10.1</f>
        <v>10.1</v>
      </c>
      <c r="F388" s="48" t="s">
        <v>24</v>
      </c>
      <c r="G388" s="56">
        <v>1.5</v>
      </c>
      <c r="H388" s="56" t="s">
        <v>12</v>
      </c>
      <c r="I388" s="56">
        <f t="shared" si="7"/>
        <v>15.149999999999999</v>
      </c>
      <c r="J388" s="56" t="s">
        <v>25</v>
      </c>
      <c r="L388" s="10"/>
      <c r="P388" s="11"/>
      <c r="Q388" s="6"/>
    </row>
    <row r="389" spans="1:17" s="7" customFormat="1" ht="66" customHeight="1" x14ac:dyDescent="0.25">
      <c r="A389" s="8"/>
      <c r="B389" s="9"/>
      <c r="C389" s="22" t="s">
        <v>109</v>
      </c>
      <c r="D389" s="24" t="s">
        <v>12</v>
      </c>
      <c r="E389" s="48">
        <f>11.6</f>
        <v>11.6</v>
      </c>
      <c r="F389" s="48" t="s">
        <v>24</v>
      </c>
      <c r="G389" s="56">
        <v>1.5</v>
      </c>
      <c r="H389" s="56" t="s">
        <v>12</v>
      </c>
      <c r="I389" s="56">
        <f t="shared" si="7"/>
        <v>17.399999999999999</v>
      </c>
      <c r="J389" s="56" t="s">
        <v>25</v>
      </c>
      <c r="L389" s="10"/>
      <c r="P389" s="11"/>
      <c r="Q389" s="6"/>
    </row>
    <row r="390" spans="1:17" s="7" customFormat="1" ht="66" customHeight="1" x14ac:dyDescent="0.25">
      <c r="A390" s="8"/>
      <c r="B390" s="9"/>
      <c r="C390" s="22" t="s">
        <v>110</v>
      </c>
      <c r="D390" s="24" t="s">
        <v>12</v>
      </c>
      <c r="E390" s="48">
        <f>11.2</f>
        <v>11.2</v>
      </c>
      <c r="F390" s="48" t="s">
        <v>24</v>
      </c>
      <c r="G390" s="56">
        <v>1.5</v>
      </c>
      <c r="H390" s="56" t="s">
        <v>12</v>
      </c>
      <c r="I390" s="56">
        <f t="shared" si="7"/>
        <v>16.799999999999997</v>
      </c>
      <c r="J390" s="56" t="s">
        <v>25</v>
      </c>
      <c r="L390" s="10"/>
      <c r="P390" s="11"/>
      <c r="Q390" s="6"/>
    </row>
    <row r="391" spans="1:17" s="7" customFormat="1" ht="66" customHeight="1" x14ac:dyDescent="0.25">
      <c r="A391" s="8"/>
      <c r="B391" s="9"/>
      <c r="C391" s="22" t="s">
        <v>71</v>
      </c>
      <c r="D391" s="24" t="s">
        <v>12</v>
      </c>
      <c r="E391" s="48">
        <f>18.7</f>
        <v>18.7</v>
      </c>
      <c r="F391" s="48" t="s">
        <v>24</v>
      </c>
      <c r="G391" s="56">
        <v>1.5</v>
      </c>
      <c r="H391" s="56" t="s">
        <v>12</v>
      </c>
      <c r="I391" s="56">
        <f t="shared" si="7"/>
        <v>28.049999999999997</v>
      </c>
      <c r="J391" s="56" t="s">
        <v>25</v>
      </c>
      <c r="L391" s="10"/>
      <c r="P391" s="11"/>
      <c r="Q391" s="6"/>
    </row>
    <row r="392" spans="1:17" s="7" customFormat="1" ht="66" customHeight="1" x14ac:dyDescent="0.25">
      <c r="A392" s="8"/>
      <c r="B392" s="9"/>
      <c r="C392" s="22" t="s">
        <v>72</v>
      </c>
      <c r="D392" s="24" t="s">
        <v>12</v>
      </c>
      <c r="E392" s="48">
        <f>15.7</f>
        <v>15.7</v>
      </c>
      <c r="F392" s="48" t="s">
        <v>24</v>
      </c>
      <c r="G392" s="56">
        <v>1.5</v>
      </c>
      <c r="H392" s="56" t="s">
        <v>12</v>
      </c>
      <c r="I392" s="56">
        <f t="shared" si="7"/>
        <v>23.549999999999997</v>
      </c>
      <c r="J392" s="56" t="s">
        <v>25</v>
      </c>
      <c r="L392" s="10"/>
      <c r="P392" s="11"/>
      <c r="Q392" s="6"/>
    </row>
    <row r="393" spans="1:17" s="7" customFormat="1" ht="66" customHeight="1" x14ac:dyDescent="0.25">
      <c r="A393" s="8"/>
      <c r="B393" s="9"/>
      <c r="C393" s="22"/>
      <c r="D393" s="24"/>
      <c r="E393" s="48"/>
      <c r="F393" s="48"/>
      <c r="G393" s="56"/>
      <c r="H393" s="56"/>
      <c r="I393" s="56"/>
      <c r="J393" s="56"/>
      <c r="L393" s="10"/>
      <c r="P393" s="11"/>
      <c r="Q393" s="6"/>
    </row>
    <row r="394" spans="1:17" s="7" customFormat="1" ht="66" customHeight="1" x14ac:dyDescent="0.25">
      <c r="A394" s="8"/>
      <c r="B394" s="9"/>
      <c r="C394" s="22"/>
      <c r="D394" s="24"/>
      <c r="E394" s="48"/>
      <c r="F394" s="48"/>
      <c r="G394" s="56" t="s">
        <v>48</v>
      </c>
      <c r="H394" s="56" t="s">
        <v>12</v>
      </c>
      <c r="I394" s="56">
        <f>SUM(I384:I392)</f>
        <v>165.40500000000003</v>
      </c>
      <c r="J394" s="56" t="s">
        <v>25</v>
      </c>
      <c r="L394" s="10"/>
      <c r="P394" s="11"/>
      <c r="Q394" s="6"/>
    </row>
    <row r="395" spans="1:17" s="7" customFormat="1" ht="66" customHeight="1" x14ac:dyDescent="0.25">
      <c r="A395" s="8"/>
      <c r="B395" s="9"/>
      <c r="C395" s="22"/>
      <c r="D395" s="24"/>
      <c r="E395" s="48"/>
      <c r="F395" s="48"/>
      <c r="G395" s="56"/>
      <c r="H395" s="56"/>
      <c r="I395" s="56"/>
      <c r="J395" s="56"/>
      <c r="L395" s="10"/>
      <c r="P395" s="11"/>
      <c r="Q395" s="6"/>
    </row>
    <row r="396" spans="1:17" s="7" customFormat="1" ht="66" customHeight="1" x14ac:dyDescent="0.25">
      <c r="A396" s="8"/>
      <c r="B396" s="9"/>
      <c r="C396" s="22" t="s">
        <v>111</v>
      </c>
      <c r="D396" s="24"/>
      <c r="E396" s="48" t="s">
        <v>103</v>
      </c>
      <c r="F396" s="48"/>
      <c r="G396" s="56" t="s">
        <v>23</v>
      </c>
      <c r="H396" s="56"/>
      <c r="I396" s="66"/>
      <c r="J396" s="66"/>
      <c r="L396" s="10"/>
      <c r="P396" s="11"/>
      <c r="Q396" s="6"/>
    </row>
    <row r="397" spans="1:17" s="7" customFormat="1" ht="66" customHeight="1" x14ac:dyDescent="0.25">
      <c r="A397" s="8"/>
      <c r="B397" s="9"/>
      <c r="C397" s="22"/>
      <c r="D397" s="24"/>
      <c r="E397" s="48"/>
      <c r="F397" s="48"/>
      <c r="G397" s="56"/>
      <c r="H397" s="56"/>
      <c r="I397" s="66"/>
      <c r="J397" s="66"/>
      <c r="L397" s="10"/>
      <c r="P397" s="11"/>
      <c r="Q397" s="6"/>
    </row>
    <row r="398" spans="1:17" s="7" customFormat="1" ht="66" customHeight="1" x14ac:dyDescent="0.25">
      <c r="A398" s="8"/>
      <c r="B398" s="9"/>
      <c r="C398" s="22" t="s">
        <v>112</v>
      </c>
      <c r="D398" s="24" t="s">
        <v>12</v>
      </c>
      <c r="E398" s="48">
        <f>0.8</f>
        <v>0.8</v>
      </c>
      <c r="F398" s="48" t="s">
        <v>24</v>
      </c>
      <c r="G398" s="56">
        <v>1.2</v>
      </c>
      <c r="H398" s="56" t="s">
        <v>12</v>
      </c>
      <c r="I398" s="56">
        <f>E398*G398</f>
        <v>0.96</v>
      </c>
      <c r="J398" s="56" t="s">
        <v>25</v>
      </c>
      <c r="L398" s="10"/>
      <c r="P398" s="11"/>
      <c r="Q398" s="6"/>
    </row>
    <row r="399" spans="1:17" s="7" customFormat="1" ht="66" customHeight="1" x14ac:dyDescent="0.25">
      <c r="A399" s="8"/>
      <c r="B399" s="9"/>
      <c r="C399" s="22" t="s">
        <v>113</v>
      </c>
      <c r="D399" s="24" t="s">
        <v>12</v>
      </c>
      <c r="E399" s="48">
        <f t="shared" ref="E399:E404" si="8">1.2</f>
        <v>1.2</v>
      </c>
      <c r="F399" s="48" t="s">
        <v>24</v>
      </c>
      <c r="G399" s="56">
        <v>1.5</v>
      </c>
      <c r="H399" s="56" t="s">
        <v>12</v>
      </c>
      <c r="I399" s="56">
        <f t="shared" ref="I399:I406" si="9">E399*G399</f>
        <v>1.7999999999999998</v>
      </c>
      <c r="J399" s="56" t="s">
        <v>25</v>
      </c>
      <c r="L399" s="10"/>
      <c r="P399" s="11"/>
      <c r="Q399" s="6"/>
    </row>
    <row r="400" spans="1:17" s="7" customFormat="1" ht="66" customHeight="1" x14ac:dyDescent="0.25">
      <c r="A400" s="8"/>
      <c r="B400" s="9"/>
      <c r="C400" s="22" t="s">
        <v>114</v>
      </c>
      <c r="D400" s="24" t="s">
        <v>12</v>
      </c>
      <c r="E400" s="48">
        <f t="shared" si="8"/>
        <v>1.2</v>
      </c>
      <c r="F400" s="48" t="s">
        <v>24</v>
      </c>
      <c r="G400" s="56">
        <v>1.5</v>
      </c>
      <c r="H400" s="56" t="s">
        <v>12</v>
      </c>
      <c r="I400" s="56">
        <f t="shared" si="9"/>
        <v>1.7999999999999998</v>
      </c>
      <c r="J400" s="56" t="s">
        <v>25</v>
      </c>
      <c r="L400" s="10"/>
      <c r="P400" s="11"/>
      <c r="Q400" s="6"/>
    </row>
    <row r="401" spans="1:17" s="7" customFormat="1" ht="66" customHeight="1" x14ac:dyDescent="0.25">
      <c r="A401" s="8"/>
      <c r="B401" s="9"/>
      <c r="C401" s="22" t="s">
        <v>115</v>
      </c>
      <c r="D401" s="24" t="s">
        <v>12</v>
      </c>
      <c r="E401" s="48">
        <f t="shared" si="8"/>
        <v>1.2</v>
      </c>
      <c r="F401" s="48" t="s">
        <v>24</v>
      </c>
      <c r="G401" s="56">
        <v>1.5</v>
      </c>
      <c r="H401" s="56" t="s">
        <v>12</v>
      </c>
      <c r="I401" s="56">
        <f t="shared" si="9"/>
        <v>1.7999999999999998</v>
      </c>
      <c r="J401" s="56" t="s">
        <v>25</v>
      </c>
      <c r="L401" s="10"/>
      <c r="P401" s="11"/>
      <c r="Q401" s="6"/>
    </row>
    <row r="402" spans="1:17" s="7" customFormat="1" ht="66" customHeight="1" x14ac:dyDescent="0.25">
      <c r="A402" s="8"/>
      <c r="B402" s="9"/>
      <c r="C402" s="22" t="s">
        <v>116</v>
      </c>
      <c r="D402" s="24" t="s">
        <v>12</v>
      </c>
      <c r="E402" s="48">
        <f t="shared" si="8"/>
        <v>1.2</v>
      </c>
      <c r="F402" s="48" t="s">
        <v>24</v>
      </c>
      <c r="G402" s="56">
        <v>1.5</v>
      </c>
      <c r="H402" s="56" t="s">
        <v>12</v>
      </c>
      <c r="I402" s="56">
        <f t="shared" si="9"/>
        <v>1.7999999999999998</v>
      </c>
      <c r="J402" s="56" t="s">
        <v>25</v>
      </c>
      <c r="L402" s="10"/>
      <c r="P402" s="11"/>
      <c r="Q402" s="6"/>
    </row>
    <row r="403" spans="1:17" s="7" customFormat="1" ht="66" customHeight="1" x14ac:dyDescent="0.25">
      <c r="A403" s="8"/>
      <c r="B403" s="9"/>
      <c r="C403" s="22" t="s">
        <v>117</v>
      </c>
      <c r="D403" s="24" t="s">
        <v>12</v>
      </c>
      <c r="E403" s="48">
        <f t="shared" si="8"/>
        <v>1.2</v>
      </c>
      <c r="F403" s="48" t="s">
        <v>24</v>
      </c>
      <c r="G403" s="56">
        <v>1.5</v>
      </c>
      <c r="H403" s="56" t="s">
        <v>12</v>
      </c>
      <c r="I403" s="56">
        <f t="shared" si="9"/>
        <v>1.7999999999999998</v>
      </c>
      <c r="J403" s="56" t="s">
        <v>25</v>
      </c>
      <c r="L403" s="10"/>
      <c r="P403" s="11"/>
      <c r="Q403" s="6"/>
    </row>
    <row r="404" spans="1:17" s="7" customFormat="1" ht="66" customHeight="1" x14ac:dyDescent="0.25">
      <c r="A404" s="8"/>
      <c r="B404" s="9"/>
      <c r="C404" s="22" t="s">
        <v>118</v>
      </c>
      <c r="D404" s="24" t="s">
        <v>12</v>
      </c>
      <c r="E404" s="48">
        <f t="shared" si="8"/>
        <v>1.2</v>
      </c>
      <c r="F404" s="48" t="s">
        <v>24</v>
      </c>
      <c r="G404" s="56">
        <v>1.5</v>
      </c>
      <c r="H404" s="56" t="s">
        <v>12</v>
      </c>
      <c r="I404" s="56">
        <f t="shared" si="9"/>
        <v>1.7999999999999998</v>
      </c>
      <c r="J404" s="56" t="s">
        <v>25</v>
      </c>
      <c r="L404" s="10"/>
      <c r="P404" s="11"/>
      <c r="Q404" s="6"/>
    </row>
    <row r="405" spans="1:17" s="7" customFormat="1" ht="66" customHeight="1" x14ac:dyDescent="0.25">
      <c r="A405" s="8"/>
      <c r="B405" s="9"/>
      <c r="C405" s="22" t="s">
        <v>119</v>
      </c>
      <c r="D405" s="24" t="s">
        <v>12</v>
      </c>
      <c r="E405" s="48">
        <f>0.8</f>
        <v>0.8</v>
      </c>
      <c r="F405" s="48" t="s">
        <v>24</v>
      </c>
      <c r="G405" s="56">
        <v>1.5</v>
      </c>
      <c r="H405" s="56" t="s">
        <v>12</v>
      </c>
      <c r="I405" s="56">
        <f t="shared" si="9"/>
        <v>1.2000000000000002</v>
      </c>
      <c r="J405" s="56" t="s">
        <v>25</v>
      </c>
      <c r="L405" s="10"/>
      <c r="P405" s="11"/>
      <c r="Q405" s="6"/>
    </row>
    <row r="406" spans="1:17" s="7" customFormat="1" ht="66" customHeight="1" x14ac:dyDescent="0.25">
      <c r="A406" s="8"/>
      <c r="B406" s="9"/>
      <c r="C406" s="22" t="s">
        <v>120</v>
      </c>
      <c r="D406" s="24" t="s">
        <v>12</v>
      </c>
      <c r="E406" s="48">
        <f>0.8</f>
        <v>0.8</v>
      </c>
      <c r="F406" s="48" t="s">
        <v>24</v>
      </c>
      <c r="G406" s="56">
        <v>1.5</v>
      </c>
      <c r="H406" s="56" t="s">
        <v>12</v>
      </c>
      <c r="I406" s="56">
        <f t="shared" si="9"/>
        <v>1.2000000000000002</v>
      </c>
      <c r="J406" s="56" t="s">
        <v>25</v>
      </c>
      <c r="L406" s="10"/>
      <c r="P406" s="11"/>
      <c r="Q406" s="6"/>
    </row>
    <row r="407" spans="1:17" s="7" customFormat="1" ht="66" customHeight="1" x14ac:dyDescent="0.25">
      <c r="A407" s="8"/>
      <c r="B407" s="9"/>
      <c r="C407" s="22"/>
      <c r="D407" s="24"/>
      <c r="E407" s="48"/>
      <c r="F407" s="48"/>
      <c r="G407" s="56"/>
      <c r="H407" s="56"/>
      <c r="I407" s="56"/>
      <c r="J407" s="56"/>
      <c r="L407" s="10"/>
      <c r="P407" s="11"/>
      <c r="Q407" s="6"/>
    </row>
    <row r="408" spans="1:17" s="7" customFormat="1" ht="66" customHeight="1" x14ac:dyDescent="0.25">
      <c r="A408" s="8"/>
      <c r="B408" s="9"/>
      <c r="C408" s="22"/>
      <c r="D408" s="24"/>
      <c r="E408" s="48"/>
      <c r="F408" s="48"/>
      <c r="G408" s="56" t="s">
        <v>48</v>
      </c>
      <c r="H408" s="56" t="s">
        <v>12</v>
      </c>
      <c r="I408" s="56">
        <f>SUM(I398:I406)</f>
        <v>14.16</v>
      </c>
      <c r="J408" s="56"/>
      <c r="L408" s="10"/>
      <c r="P408" s="11"/>
      <c r="Q408" s="6"/>
    </row>
    <row r="409" spans="1:17" s="7" customFormat="1" ht="66" customHeight="1" x14ac:dyDescent="0.25">
      <c r="A409" s="8"/>
      <c r="B409" s="9"/>
      <c r="C409" s="22"/>
      <c r="D409" s="24"/>
      <c r="E409" s="48"/>
      <c r="F409" s="48"/>
      <c r="G409" s="56"/>
      <c r="H409" s="56"/>
      <c r="I409" s="56"/>
      <c r="J409" s="56"/>
      <c r="L409" s="10"/>
      <c r="P409" s="11"/>
      <c r="Q409" s="6"/>
    </row>
    <row r="410" spans="1:17" s="7" customFormat="1" ht="66" customHeight="1" x14ac:dyDescent="0.25">
      <c r="A410" s="8"/>
      <c r="B410" s="9"/>
      <c r="C410" s="22"/>
      <c r="D410" s="24"/>
      <c r="E410" s="48" t="s">
        <v>57</v>
      </c>
      <c r="F410" s="48"/>
      <c r="G410" s="56" t="s">
        <v>111</v>
      </c>
      <c r="H410" s="56"/>
      <c r="I410" s="56"/>
      <c r="J410" s="56"/>
      <c r="L410" s="10"/>
      <c r="P410" s="11"/>
      <c r="Q410" s="6"/>
    </row>
    <row r="411" spans="1:17" s="7" customFormat="1" ht="66" customHeight="1" x14ac:dyDescent="0.25">
      <c r="A411" s="8"/>
      <c r="B411" s="9"/>
      <c r="C411" s="22"/>
      <c r="D411" s="24"/>
      <c r="E411" s="48"/>
      <c r="F411" s="48"/>
      <c r="G411" s="56"/>
      <c r="H411" s="56"/>
      <c r="I411" s="56"/>
      <c r="J411" s="56"/>
      <c r="L411" s="10"/>
      <c r="P411" s="11"/>
      <c r="Q411" s="6"/>
    </row>
    <row r="412" spans="1:17" s="7" customFormat="1" ht="66" customHeight="1" x14ac:dyDescent="0.25">
      <c r="A412" s="8"/>
      <c r="B412" s="9"/>
      <c r="C412" s="22" t="s">
        <v>48</v>
      </c>
      <c r="D412" s="24" t="s">
        <v>12</v>
      </c>
      <c r="E412" s="48">
        <f>I394</f>
        <v>165.40500000000003</v>
      </c>
      <c r="F412" s="48" t="s">
        <v>121</v>
      </c>
      <c r="G412" s="56">
        <f>I408</f>
        <v>14.16</v>
      </c>
      <c r="H412" s="56" t="s">
        <v>12</v>
      </c>
      <c r="I412" s="66">
        <f>E412-G412</f>
        <v>151.24500000000003</v>
      </c>
      <c r="J412" s="66" t="s">
        <v>25</v>
      </c>
      <c r="L412" s="10"/>
      <c r="P412" s="11"/>
      <c r="Q412" s="6"/>
    </row>
    <row r="413" spans="1:17" s="7" customFormat="1" ht="66" customHeight="1" x14ac:dyDescent="0.25">
      <c r="A413" s="8"/>
      <c r="B413" s="9"/>
      <c r="C413" s="52"/>
      <c r="D413" s="27"/>
      <c r="E413" s="26"/>
      <c r="F413" s="26"/>
      <c r="L413" s="10"/>
      <c r="P413" s="11"/>
      <c r="Q413" s="6"/>
    </row>
    <row r="414" spans="1:17" s="7" customFormat="1" ht="66" customHeight="1" x14ac:dyDescent="0.25">
      <c r="A414" s="8"/>
      <c r="B414" s="18" t="s">
        <v>164</v>
      </c>
      <c r="C414" s="19" t="str">
        <f>VLOOKUP($B414,[1]ORÇ_ANALITICO!$A$10:$K$137,2,0)</f>
        <v>13.001.0026-0</v>
      </c>
      <c r="D414" s="157" t="str">
        <f>VLOOKUP($C414,[1]ORÇ_ANALITICO!$B$10:$L$137,4,0)</f>
        <v>EMBOCO COM ARGAMASSA DE CIMENTO E AREIA,NO TRACO 1:3 COM 2CMDE ESPESSURA,INCLUSIVE CHAPISCO DE CIMENTO E AREIA,NO TRACO1:3</v>
      </c>
      <c r="E414" s="157" t="e">
        <f>VLOOKUP(D414,[1]ORÇ_ANALITICO!C283:M382,2,0)</f>
        <v>#N/A</v>
      </c>
      <c r="F414" s="157" t="e">
        <f>VLOOKUP(E414,[1]ORÇ_ANALITICO!E283:N382,2,0)</f>
        <v>#N/A</v>
      </c>
      <c r="G414" s="157" t="e">
        <f>VLOOKUP(F414,[1]ORÇ_ANALITICO!F283:O382,2,0)</f>
        <v>#N/A</v>
      </c>
      <c r="H414" s="157" t="e">
        <f>VLOOKUP(G414,[1]ORÇ_ANALITICO!G283:P382,2,0)</f>
        <v>#N/A</v>
      </c>
      <c r="I414" s="157" t="e">
        <f>VLOOKUP(H414,[1]ORÇ_ANALITICO!H283:Q382,2,0)</f>
        <v>#N/A</v>
      </c>
      <c r="J414" s="157" t="e">
        <f>VLOOKUP(I414,[1]ORÇ_ANALITICO!I283:R382,2,0)</f>
        <v>#N/A</v>
      </c>
      <c r="K414" s="157" t="e">
        <f>VLOOKUP(J414,[1]ORÇ_ANALITICO!J283:S382,2,0)</f>
        <v>#N/A</v>
      </c>
      <c r="L414" s="157" t="e">
        <f>VLOOKUP(K414,[1]ORÇ_ANALITICO!K283:T382,2,0)</f>
        <v>#N/A</v>
      </c>
      <c r="M414" s="157" t="e">
        <f>VLOOKUP(L414,[1]ORÇ_ANALITICO!L283:U382,2,0)</f>
        <v>#N/A</v>
      </c>
      <c r="N414" s="157" t="e">
        <f>VLOOKUP(M414,[1]ORÇ_ANALITICO!M283:V382,2,0)</f>
        <v>#N/A</v>
      </c>
      <c r="O414" s="20" t="str">
        <f>VLOOKUP($C414,[1]ORÇ_ANALITICO!$B$10:$L$137,5,0)</f>
        <v>M2</v>
      </c>
      <c r="P414" s="20">
        <f>I433</f>
        <v>221.25749999999999</v>
      </c>
      <c r="Q414" s="6"/>
    </row>
    <row r="415" spans="1:17" s="7" customFormat="1" ht="66" customHeight="1" x14ac:dyDescent="0.25">
      <c r="A415" s="8"/>
      <c r="B415" s="9"/>
      <c r="C415" s="52"/>
      <c r="D415" s="27"/>
      <c r="E415" s="26"/>
      <c r="F415" s="26"/>
      <c r="L415" s="10"/>
      <c r="P415" s="11"/>
      <c r="Q415" s="6"/>
    </row>
    <row r="416" spans="1:17" s="7" customFormat="1" ht="66" customHeight="1" x14ac:dyDescent="0.25">
      <c r="A416" s="8"/>
      <c r="B416" s="9"/>
      <c r="C416" s="10"/>
      <c r="L416" s="10"/>
      <c r="P416" s="11"/>
      <c r="Q416" s="6"/>
    </row>
    <row r="417" spans="1:17" s="7" customFormat="1" ht="66" customHeight="1" x14ac:dyDescent="0.25">
      <c r="A417" s="8"/>
      <c r="B417" s="9"/>
      <c r="C417" s="22"/>
      <c r="D417" s="24"/>
      <c r="E417" s="48" t="s">
        <v>103</v>
      </c>
      <c r="F417" s="48"/>
      <c r="G417" s="56" t="s">
        <v>23</v>
      </c>
      <c r="H417" s="56"/>
      <c r="I417" s="56"/>
      <c r="J417" s="56"/>
      <c r="L417" s="10"/>
      <c r="P417" s="11"/>
      <c r="Q417" s="6"/>
    </row>
    <row r="418" spans="1:17" s="7" customFormat="1" ht="66" customHeight="1" x14ac:dyDescent="0.25">
      <c r="A418" s="8"/>
      <c r="B418" s="9"/>
      <c r="C418" s="22"/>
      <c r="D418" s="24"/>
      <c r="E418" s="48"/>
      <c r="F418" s="48"/>
      <c r="G418" s="56"/>
      <c r="H418" s="56"/>
      <c r="I418" s="56"/>
      <c r="J418" s="56"/>
      <c r="L418" s="10"/>
      <c r="P418" s="11"/>
      <c r="Q418" s="6"/>
    </row>
    <row r="419" spans="1:17" s="7" customFormat="1" ht="66" customHeight="1" x14ac:dyDescent="0.25">
      <c r="A419" s="8"/>
      <c r="B419" s="9"/>
      <c r="C419" s="22" t="s">
        <v>128</v>
      </c>
      <c r="D419" s="24" t="s">
        <v>12</v>
      </c>
      <c r="E419" s="48">
        <v>24.75</v>
      </c>
      <c r="F419" s="48" t="s">
        <v>24</v>
      </c>
      <c r="G419" s="56">
        <v>0.9</v>
      </c>
      <c r="H419" s="56" t="s">
        <v>12</v>
      </c>
      <c r="I419" s="56">
        <f t="shared" ref="I419:I431" si="10">E419*G419</f>
        <v>22.275000000000002</v>
      </c>
      <c r="J419" s="56" t="s">
        <v>25</v>
      </c>
      <c r="L419" s="10"/>
      <c r="P419" s="11"/>
      <c r="Q419" s="6"/>
    </row>
    <row r="420" spans="1:17" s="7" customFormat="1" ht="66" customHeight="1" x14ac:dyDescent="0.25">
      <c r="A420" s="8"/>
      <c r="B420" s="9"/>
      <c r="C420" s="22" t="s">
        <v>165</v>
      </c>
      <c r="D420" s="24" t="s">
        <v>12</v>
      </c>
      <c r="E420" s="48">
        <f>4.2+3.5</f>
        <v>7.7</v>
      </c>
      <c r="F420" s="48" t="s">
        <v>24</v>
      </c>
      <c r="G420" s="56">
        <v>1.1000000000000001</v>
      </c>
      <c r="H420" s="56" t="s">
        <v>12</v>
      </c>
      <c r="I420" s="56">
        <f t="shared" si="10"/>
        <v>8.4700000000000006</v>
      </c>
      <c r="J420" s="56" t="s">
        <v>25</v>
      </c>
      <c r="L420" s="10"/>
      <c r="P420" s="11"/>
      <c r="Q420" s="6"/>
    </row>
    <row r="421" spans="1:17" s="7" customFormat="1" ht="66" customHeight="1" x14ac:dyDescent="0.25">
      <c r="A421" s="8"/>
      <c r="B421" s="9"/>
      <c r="C421" s="22" t="s">
        <v>104</v>
      </c>
      <c r="D421" s="24" t="s">
        <v>12</v>
      </c>
      <c r="E421" s="48">
        <v>4.1500000000000004</v>
      </c>
      <c r="F421" s="48" t="s">
        <v>24</v>
      </c>
      <c r="G421" s="56">
        <v>1.5</v>
      </c>
      <c r="H421" s="56" t="s">
        <v>12</v>
      </c>
      <c r="I421" s="56">
        <f t="shared" si="10"/>
        <v>6.2250000000000005</v>
      </c>
      <c r="J421" s="56" t="s">
        <v>25</v>
      </c>
      <c r="L421" s="10"/>
      <c r="P421" s="11"/>
      <c r="Q421" s="6"/>
    </row>
    <row r="422" spans="1:17" s="7" customFormat="1" ht="66" customHeight="1" x14ac:dyDescent="0.25">
      <c r="A422" s="8"/>
      <c r="B422" s="9"/>
      <c r="C422" s="22" t="s">
        <v>130</v>
      </c>
      <c r="D422" s="24" t="s">
        <v>12</v>
      </c>
      <c r="E422" s="48">
        <v>7.85</v>
      </c>
      <c r="F422" s="48" t="s">
        <v>24</v>
      </c>
      <c r="G422" s="56">
        <v>1.2</v>
      </c>
      <c r="H422" s="56" t="s">
        <v>12</v>
      </c>
      <c r="I422" s="56">
        <f t="shared" si="10"/>
        <v>9.42</v>
      </c>
      <c r="J422" s="56" t="s">
        <v>25</v>
      </c>
      <c r="L422" s="10"/>
      <c r="P422" s="11"/>
      <c r="Q422" s="6"/>
    </row>
    <row r="423" spans="1:17" s="7" customFormat="1" ht="66" customHeight="1" x14ac:dyDescent="0.25">
      <c r="A423" s="8"/>
      <c r="B423" s="9"/>
      <c r="C423" s="22" t="s">
        <v>131</v>
      </c>
      <c r="D423" s="24" t="s">
        <v>12</v>
      </c>
      <c r="E423" s="48">
        <f>12.8+12.65</f>
        <v>25.450000000000003</v>
      </c>
      <c r="F423" s="48" t="s">
        <v>24</v>
      </c>
      <c r="G423" s="56">
        <v>1</v>
      </c>
      <c r="H423" s="56" t="s">
        <v>12</v>
      </c>
      <c r="I423" s="56">
        <f t="shared" si="10"/>
        <v>25.450000000000003</v>
      </c>
      <c r="J423" s="56" t="s">
        <v>25</v>
      </c>
      <c r="L423" s="10"/>
      <c r="P423" s="11"/>
      <c r="Q423" s="6"/>
    </row>
    <row r="424" spans="1:17" s="7" customFormat="1" ht="66" customHeight="1" x14ac:dyDescent="0.25">
      <c r="A424" s="8"/>
      <c r="B424" s="9"/>
      <c r="C424" s="22" t="s">
        <v>66</v>
      </c>
      <c r="D424" s="24" t="s">
        <v>12</v>
      </c>
      <c r="E424" s="48">
        <f>9.15+12.8</f>
        <v>21.950000000000003</v>
      </c>
      <c r="F424" s="48" t="s">
        <v>24</v>
      </c>
      <c r="G424" s="56">
        <v>1.5</v>
      </c>
      <c r="H424" s="56" t="s">
        <v>12</v>
      </c>
      <c r="I424" s="56">
        <f t="shared" si="10"/>
        <v>32.925000000000004</v>
      </c>
      <c r="J424" s="56" t="s">
        <v>25</v>
      </c>
      <c r="L424" s="10"/>
      <c r="P424" s="11"/>
      <c r="Q424" s="6"/>
    </row>
    <row r="425" spans="1:17" s="7" customFormat="1" ht="66" customHeight="1" x14ac:dyDescent="0.25">
      <c r="A425" s="8"/>
      <c r="B425" s="9"/>
      <c r="C425" s="22" t="s">
        <v>109</v>
      </c>
      <c r="D425" s="24" t="s">
        <v>12</v>
      </c>
      <c r="E425" s="48">
        <v>2.85</v>
      </c>
      <c r="F425" s="48" t="s">
        <v>24</v>
      </c>
      <c r="G425" s="56">
        <v>1.25</v>
      </c>
      <c r="H425" s="56" t="s">
        <v>12</v>
      </c>
      <c r="I425" s="56">
        <f t="shared" si="10"/>
        <v>3.5625</v>
      </c>
      <c r="J425" s="56" t="s">
        <v>25</v>
      </c>
      <c r="L425" s="10"/>
      <c r="P425" s="11"/>
      <c r="Q425" s="6"/>
    </row>
    <row r="426" spans="1:17" s="7" customFormat="1" ht="66" customHeight="1" x14ac:dyDescent="0.25">
      <c r="A426" s="8"/>
      <c r="B426" s="9"/>
      <c r="C426" s="22" t="s">
        <v>71</v>
      </c>
      <c r="D426" s="24" t="s">
        <v>12</v>
      </c>
      <c r="E426" s="48">
        <v>18.7</v>
      </c>
      <c r="F426" s="48" t="s">
        <v>24</v>
      </c>
      <c r="G426" s="56">
        <v>1.2</v>
      </c>
      <c r="H426" s="56" t="s">
        <v>12</v>
      </c>
      <c r="I426" s="56">
        <f t="shared" si="10"/>
        <v>22.439999999999998</v>
      </c>
      <c r="J426" s="56" t="s">
        <v>25</v>
      </c>
      <c r="L426" s="10"/>
      <c r="P426" s="11"/>
      <c r="Q426" s="6"/>
    </row>
    <row r="427" spans="1:17" s="7" customFormat="1" ht="66" customHeight="1" x14ac:dyDescent="0.25">
      <c r="A427" s="8"/>
      <c r="B427" s="9"/>
      <c r="C427" s="22" t="s">
        <v>72</v>
      </c>
      <c r="D427" s="24" t="s">
        <v>12</v>
      </c>
      <c r="E427" s="48">
        <v>15.7</v>
      </c>
      <c r="F427" s="48" t="s">
        <v>24</v>
      </c>
      <c r="G427" s="56">
        <v>1.2</v>
      </c>
      <c r="H427" s="56" t="s">
        <v>12</v>
      </c>
      <c r="I427" s="56">
        <f t="shared" si="10"/>
        <v>18.84</v>
      </c>
      <c r="J427" s="56" t="s">
        <v>25</v>
      </c>
      <c r="L427" s="10"/>
      <c r="P427" s="11"/>
      <c r="Q427" s="6"/>
    </row>
    <row r="428" spans="1:17" s="7" customFormat="1" ht="66" customHeight="1" x14ac:dyDescent="0.25">
      <c r="A428" s="8"/>
      <c r="B428" s="9"/>
      <c r="C428" s="22" t="s">
        <v>132</v>
      </c>
      <c r="D428" s="24" t="s">
        <v>12</v>
      </c>
      <c r="E428" s="48">
        <v>7.85</v>
      </c>
      <c r="F428" s="48" t="s">
        <v>24</v>
      </c>
      <c r="G428" s="56">
        <v>1.35</v>
      </c>
      <c r="H428" s="56" t="s">
        <v>12</v>
      </c>
      <c r="I428" s="56">
        <f t="shared" si="10"/>
        <v>10.5975</v>
      </c>
      <c r="J428" s="56" t="s">
        <v>25</v>
      </c>
      <c r="L428" s="10"/>
      <c r="P428" s="11"/>
      <c r="Q428" s="6"/>
    </row>
    <row r="429" spans="1:17" s="7" customFormat="1" ht="66" customHeight="1" x14ac:dyDescent="0.25">
      <c r="A429" s="8"/>
      <c r="B429" s="9"/>
      <c r="C429" s="22" t="s">
        <v>133</v>
      </c>
      <c r="D429" s="24" t="s">
        <v>12</v>
      </c>
      <c r="E429" s="48">
        <v>23.3</v>
      </c>
      <c r="F429" s="48" t="s">
        <v>24</v>
      </c>
      <c r="G429" s="56">
        <v>0.75</v>
      </c>
      <c r="H429" s="56" t="s">
        <v>12</v>
      </c>
      <c r="I429" s="56">
        <f t="shared" si="10"/>
        <v>17.475000000000001</v>
      </c>
      <c r="J429" s="56" t="s">
        <v>25</v>
      </c>
      <c r="L429" s="10"/>
      <c r="P429" s="11"/>
      <c r="Q429" s="6"/>
    </row>
    <row r="430" spans="1:17" s="7" customFormat="1" ht="66" customHeight="1" x14ac:dyDescent="0.25">
      <c r="A430" s="8"/>
      <c r="B430" s="9"/>
      <c r="C430" s="22" t="s">
        <v>134</v>
      </c>
      <c r="D430" s="24" t="s">
        <v>12</v>
      </c>
      <c r="E430" s="48">
        <f>23.5-1.35</f>
        <v>22.15</v>
      </c>
      <c r="F430" s="48" t="s">
        <v>24</v>
      </c>
      <c r="G430" s="56">
        <v>0.85</v>
      </c>
      <c r="H430" s="56" t="s">
        <v>12</v>
      </c>
      <c r="I430" s="56">
        <f t="shared" si="10"/>
        <v>18.827499999999997</v>
      </c>
      <c r="J430" s="56" t="s">
        <v>25</v>
      </c>
      <c r="L430" s="10"/>
      <c r="P430" s="11"/>
      <c r="Q430" s="6"/>
    </row>
    <row r="431" spans="1:17" s="7" customFormat="1" ht="66" customHeight="1" x14ac:dyDescent="0.25">
      <c r="A431" s="8"/>
      <c r="B431" s="9"/>
      <c r="C431" s="22" t="s">
        <v>52</v>
      </c>
      <c r="D431" s="24" t="s">
        <v>12</v>
      </c>
      <c r="E431" s="48">
        <v>24.75</v>
      </c>
      <c r="F431" s="48" t="s">
        <v>24</v>
      </c>
      <c r="G431" s="56">
        <v>1</v>
      </c>
      <c r="H431" s="56" t="s">
        <v>12</v>
      </c>
      <c r="I431" s="56">
        <f t="shared" si="10"/>
        <v>24.75</v>
      </c>
      <c r="J431" s="56" t="s">
        <v>25</v>
      </c>
      <c r="L431" s="10"/>
      <c r="P431" s="11"/>
      <c r="Q431" s="6"/>
    </row>
    <row r="432" spans="1:17" s="7" customFormat="1" ht="66" customHeight="1" x14ac:dyDescent="0.25">
      <c r="A432" s="8"/>
      <c r="B432" s="9"/>
      <c r="C432" s="22"/>
      <c r="D432" s="24"/>
      <c r="E432" s="48"/>
      <c r="F432" s="48"/>
      <c r="G432" s="56"/>
      <c r="H432" s="56"/>
      <c r="I432" s="56"/>
      <c r="J432" s="56"/>
      <c r="L432" s="10"/>
      <c r="P432" s="11"/>
      <c r="Q432" s="6"/>
    </row>
    <row r="433" spans="1:17" s="7" customFormat="1" ht="66" customHeight="1" x14ac:dyDescent="0.25">
      <c r="A433" s="8"/>
      <c r="B433" s="9"/>
      <c r="C433" s="22"/>
      <c r="D433" s="24"/>
      <c r="E433" s="48"/>
      <c r="F433" s="48"/>
      <c r="G433" s="66" t="s">
        <v>48</v>
      </c>
      <c r="H433" s="66" t="s">
        <v>12</v>
      </c>
      <c r="I433" s="66">
        <f>SUM(I419:I431)</f>
        <v>221.25749999999999</v>
      </c>
      <c r="J433" s="66" t="s">
        <v>25</v>
      </c>
      <c r="L433" s="10"/>
      <c r="P433" s="11"/>
      <c r="Q433" s="6"/>
    </row>
    <row r="434" spans="1:17" s="7" customFormat="1" ht="66" customHeight="1" x14ac:dyDescent="0.25">
      <c r="A434" s="8"/>
      <c r="B434" s="9"/>
      <c r="C434" s="52"/>
      <c r="D434" s="27"/>
      <c r="E434" s="26"/>
      <c r="F434" s="26"/>
      <c r="L434" s="10"/>
      <c r="P434" s="11"/>
      <c r="Q434" s="6"/>
    </row>
    <row r="435" spans="1:17" s="7" customFormat="1" ht="66" customHeight="1" x14ac:dyDescent="0.25">
      <c r="A435" s="8"/>
      <c r="B435" s="18" t="s">
        <v>166</v>
      </c>
      <c r="C435" s="19" t="str">
        <f>VLOOKUP($B435,[1]ORÇ_ANALITICO!$A$10:$K$137,2,0)</f>
        <v>13.348.0055-0</v>
      </c>
      <c r="D435" s="157" t="str">
        <f>VLOOKUP($C435,[1]ORÇ_ANALITICO!$B$10:$L$137,4,0)</f>
        <v>PEITORIL EM GRANITO CINZA ANDORINHA,ESPESSURA DE 2CM,LARGURADE 28CM,ASSENTADO COM NATA DE CIMENTO SOBRE ARGAMASSA DE CIMENTO,SAIBRO E AREIA,NO TRACO 1:3:3 E REJUNTAMENTO COM CIMENTO BRANCO</v>
      </c>
      <c r="E435" s="157" t="e">
        <f>VLOOKUP(D435,[1]ORÇ_ANALITICO!C304:M403,2,0)</f>
        <v>#N/A</v>
      </c>
      <c r="F435" s="157" t="e">
        <f>VLOOKUP(E435,[1]ORÇ_ANALITICO!E304:N403,2,0)</f>
        <v>#N/A</v>
      </c>
      <c r="G435" s="157" t="e">
        <f>VLOOKUP(F435,[1]ORÇ_ANALITICO!F304:O403,2,0)</f>
        <v>#N/A</v>
      </c>
      <c r="H435" s="157" t="e">
        <f>VLOOKUP(G435,[1]ORÇ_ANALITICO!G304:P403,2,0)</f>
        <v>#N/A</v>
      </c>
      <c r="I435" s="157" t="e">
        <f>VLOOKUP(H435,[1]ORÇ_ANALITICO!H304:Q403,2,0)</f>
        <v>#N/A</v>
      </c>
      <c r="J435" s="157" t="e">
        <f>VLOOKUP(I435,[1]ORÇ_ANALITICO!I304:R403,2,0)</f>
        <v>#N/A</v>
      </c>
      <c r="K435" s="157" t="e">
        <f>VLOOKUP(J435,[1]ORÇ_ANALITICO!J304:S403,2,0)</f>
        <v>#N/A</v>
      </c>
      <c r="L435" s="157" t="e">
        <f>VLOOKUP(K435,[1]ORÇ_ANALITICO!K304:T403,2,0)</f>
        <v>#N/A</v>
      </c>
      <c r="M435" s="157" t="e">
        <f>VLOOKUP(L435,[1]ORÇ_ANALITICO!L304:U403,2,0)</f>
        <v>#N/A</v>
      </c>
      <c r="N435" s="157" t="e">
        <f>VLOOKUP(M435,[1]ORÇ_ANALITICO!M304:V403,2,0)</f>
        <v>#N/A</v>
      </c>
      <c r="O435" s="20" t="str">
        <f>VLOOKUP($C435,[1]ORÇ_ANALITICO!$B$10:$L$137,5,0)</f>
        <v>M</v>
      </c>
      <c r="P435" s="20">
        <f>E441</f>
        <v>50.650000000000006</v>
      </c>
      <c r="Q435" s="6"/>
    </row>
    <row r="436" spans="1:17" s="7" customFormat="1" ht="66" customHeight="1" x14ac:dyDescent="0.25">
      <c r="A436" s="8"/>
      <c r="B436" s="9"/>
      <c r="C436" s="52"/>
      <c r="D436" s="27"/>
      <c r="E436" s="26"/>
      <c r="F436" s="26"/>
      <c r="L436" s="10"/>
      <c r="P436" s="11"/>
      <c r="Q436" s="6"/>
    </row>
    <row r="437" spans="1:17" s="7" customFormat="1" ht="66" customHeight="1" x14ac:dyDescent="0.25">
      <c r="A437" s="8"/>
      <c r="B437" s="9"/>
      <c r="C437" s="22"/>
      <c r="D437" s="24"/>
      <c r="E437" s="48" t="s">
        <v>22</v>
      </c>
      <c r="F437" s="48"/>
      <c r="L437" s="10"/>
      <c r="P437" s="11"/>
      <c r="Q437" s="6"/>
    </row>
    <row r="438" spans="1:17" s="7" customFormat="1" ht="66" customHeight="1" x14ac:dyDescent="0.25">
      <c r="A438" s="8"/>
      <c r="B438" s="9"/>
      <c r="C438" s="22" t="s">
        <v>167</v>
      </c>
      <c r="D438" s="24" t="s">
        <v>12</v>
      </c>
      <c r="E438" s="48">
        <f>12.8+12.65</f>
        <v>25.450000000000003</v>
      </c>
      <c r="F438" s="48" t="s">
        <v>158</v>
      </c>
      <c r="L438" s="10"/>
      <c r="P438" s="11"/>
      <c r="Q438" s="6"/>
    </row>
    <row r="439" spans="1:17" s="7" customFormat="1" ht="66" customHeight="1" x14ac:dyDescent="0.25">
      <c r="A439" s="8"/>
      <c r="B439" s="9"/>
      <c r="C439" s="22" t="s">
        <v>168</v>
      </c>
      <c r="D439" s="24" t="s">
        <v>12</v>
      </c>
      <c r="E439" s="48">
        <v>25.2</v>
      </c>
      <c r="F439" s="48" t="s">
        <v>158</v>
      </c>
      <c r="L439" s="10"/>
      <c r="P439" s="11"/>
      <c r="Q439" s="6"/>
    </row>
    <row r="440" spans="1:17" s="7" customFormat="1" ht="66" customHeight="1" x14ac:dyDescent="0.25">
      <c r="A440" s="8"/>
      <c r="B440" s="9"/>
      <c r="C440" s="22"/>
      <c r="D440" s="24"/>
      <c r="E440" s="48"/>
      <c r="F440" s="48"/>
      <c r="L440" s="10"/>
      <c r="P440" s="11"/>
      <c r="Q440" s="6"/>
    </row>
    <row r="441" spans="1:17" s="7" customFormat="1" ht="66" customHeight="1" x14ac:dyDescent="0.25">
      <c r="A441" s="8"/>
      <c r="B441" s="9"/>
      <c r="C441" s="52" t="s">
        <v>48</v>
      </c>
      <c r="D441" s="27" t="s">
        <v>12</v>
      </c>
      <c r="E441" s="26">
        <f>SUM(E438:E439)</f>
        <v>50.650000000000006</v>
      </c>
      <c r="F441" s="26" t="s">
        <v>158</v>
      </c>
      <c r="L441" s="10"/>
      <c r="P441" s="11"/>
      <c r="Q441" s="6"/>
    </row>
    <row r="442" spans="1:17" s="7" customFormat="1" ht="66" customHeight="1" x14ac:dyDescent="0.25">
      <c r="A442" s="8"/>
      <c r="B442" s="9"/>
      <c r="C442" s="52"/>
      <c r="D442" s="27"/>
      <c r="E442" s="26"/>
      <c r="F442" s="26"/>
      <c r="L442" s="10"/>
      <c r="P442" s="11"/>
      <c r="Q442" s="6"/>
    </row>
    <row r="443" spans="1:17" s="7" customFormat="1" ht="66" customHeight="1" x14ac:dyDescent="0.25">
      <c r="A443" s="8"/>
      <c r="B443" s="18" t="s">
        <v>169</v>
      </c>
      <c r="C443" s="19" t="str">
        <f>VLOOKUP($B443,[1]ORÇ_ANALITICO!$A$10:$K$137,2,0)</f>
        <v>13.301.0510-0</v>
      </c>
      <c r="D443" s="157" t="str">
        <f>VLOOKUP($C443,[1]ORÇ_ANALITICO!$B$10:$L$137,4,0)</f>
        <v>RECOMPOSICAO DE PISO DE CONCRETO SIMPLES,COM RESISTENCIA DE15MPA,COM 8CM DE ESPESSURA,INCLUSIVE DEMOLICAO COM EQUIPAMENTO DE AR COMPRIMIDO DO PISO</v>
      </c>
      <c r="E443" s="157" t="e">
        <f>VLOOKUP(D443,[1]ORÇ_ANALITICO!C313:M412,2,0)</f>
        <v>#N/A</v>
      </c>
      <c r="F443" s="157" t="e">
        <f>VLOOKUP(E443,[1]ORÇ_ANALITICO!E313:N412,2,0)</f>
        <v>#N/A</v>
      </c>
      <c r="G443" s="157" t="e">
        <f>VLOOKUP(F443,[1]ORÇ_ANALITICO!F313:O412,2,0)</f>
        <v>#N/A</v>
      </c>
      <c r="H443" s="157" t="e">
        <f>VLOOKUP(G443,[1]ORÇ_ANALITICO!G313:P412,2,0)</f>
        <v>#N/A</v>
      </c>
      <c r="I443" s="157" t="e">
        <f>VLOOKUP(H443,[1]ORÇ_ANALITICO!H313:Q412,2,0)</f>
        <v>#N/A</v>
      </c>
      <c r="J443" s="157" t="e">
        <f>VLOOKUP(I443,[1]ORÇ_ANALITICO!I313:R412,2,0)</f>
        <v>#N/A</v>
      </c>
      <c r="K443" s="157" t="e">
        <f>VLOOKUP(J443,[1]ORÇ_ANALITICO!J313:S412,2,0)</f>
        <v>#N/A</v>
      </c>
      <c r="L443" s="157" t="e">
        <f>VLOOKUP(K443,[1]ORÇ_ANALITICO!K313:T412,2,0)</f>
        <v>#N/A</v>
      </c>
      <c r="M443" s="157" t="e">
        <f>VLOOKUP(L443,[1]ORÇ_ANALITICO!L313:U412,2,0)</f>
        <v>#N/A</v>
      </c>
      <c r="N443" s="157" t="e">
        <f>VLOOKUP(M443,[1]ORÇ_ANALITICO!M313:V412,2,0)</f>
        <v>#N/A</v>
      </c>
      <c r="O443" s="20" t="str">
        <f>VLOOKUP($C443,[1]ORÇ_ANALITICO!$B$10:$L$137,5,0)</f>
        <v>M2</v>
      </c>
      <c r="P443" s="20">
        <f>E448</f>
        <v>34.5</v>
      </c>
      <c r="Q443" s="6"/>
    </row>
    <row r="444" spans="1:17" s="7" customFormat="1" ht="66" customHeight="1" x14ac:dyDescent="0.25">
      <c r="A444" s="8"/>
      <c r="B444" s="9"/>
      <c r="C444" s="52"/>
      <c r="D444" s="27"/>
      <c r="E444" s="26"/>
      <c r="F444" s="26"/>
      <c r="L444" s="10"/>
      <c r="P444" s="11"/>
      <c r="Q444" s="6"/>
    </row>
    <row r="445" spans="1:17" s="7" customFormat="1" ht="66" customHeight="1" x14ac:dyDescent="0.25">
      <c r="A445" s="8"/>
      <c r="B445" s="9"/>
      <c r="C445" s="53" t="s">
        <v>170</v>
      </c>
      <c r="D445" s="54" t="s">
        <v>12</v>
      </c>
      <c r="E445" s="55">
        <f>10.5*(0.5+0.3+0.3)</f>
        <v>11.55</v>
      </c>
      <c r="F445" s="55" t="s">
        <v>25</v>
      </c>
      <c r="L445" s="10"/>
      <c r="P445" s="11"/>
      <c r="Q445" s="6"/>
    </row>
    <row r="446" spans="1:17" s="7" customFormat="1" ht="66" customHeight="1" x14ac:dyDescent="0.25">
      <c r="A446" s="8"/>
      <c r="B446" s="9"/>
      <c r="C446" s="22" t="s">
        <v>171</v>
      </c>
      <c r="D446" s="24" t="s">
        <v>12</v>
      </c>
      <c r="E446" s="48">
        <v>22.95</v>
      </c>
      <c r="F446" s="48" t="s">
        <v>25</v>
      </c>
      <c r="L446" s="10"/>
      <c r="P446" s="11"/>
      <c r="Q446" s="6"/>
    </row>
    <row r="447" spans="1:17" s="7" customFormat="1" ht="66" customHeight="1" x14ac:dyDescent="0.25">
      <c r="A447" s="8"/>
      <c r="B447" s="9"/>
      <c r="C447" s="22"/>
      <c r="D447" s="24"/>
      <c r="E447" s="48"/>
      <c r="F447" s="48"/>
      <c r="L447" s="10"/>
      <c r="P447" s="11"/>
      <c r="Q447" s="6"/>
    </row>
    <row r="448" spans="1:17" s="7" customFormat="1" ht="66" customHeight="1" x14ac:dyDescent="0.25">
      <c r="A448" s="8"/>
      <c r="B448" s="9"/>
      <c r="C448" s="52" t="s">
        <v>48</v>
      </c>
      <c r="D448" s="27" t="s">
        <v>12</v>
      </c>
      <c r="E448" s="26">
        <f>SUM(E445:E446)</f>
        <v>34.5</v>
      </c>
      <c r="F448" s="26" t="s">
        <v>25</v>
      </c>
      <c r="L448" s="10"/>
      <c r="P448" s="11"/>
      <c r="Q448" s="6"/>
    </row>
    <row r="449" spans="1:17" s="7" customFormat="1" ht="66" customHeight="1" x14ac:dyDescent="0.25">
      <c r="A449" s="8"/>
      <c r="B449" s="9"/>
      <c r="C449" s="52"/>
      <c r="D449" s="27"/>
      <c r="E449" s="26"/>
      <c r="F449" s="26"/>
      <c r="L449" s="10"/>
      <c r="P449" s="11"/>
      <c r="Q449" s="6"/>
    </row>
    <row r="450" spans="1:17" s="7" customFormat="1" ht="66" customHeight="1" x14ac:dyDescent="0.25">
      <c r="A450" s="8"/>
      <c r="B450" s="18" t="s">
        <v>172</v>
      </c>
      <c r="C450" s="19" t="str">
        <f>VLOOKUP($B450,[1]ORÇ_ANALITICO!$A$10:$K$137,2,0)</f>
        <v>13.331.0015-0</v>
      </c>
      <c r="D450" s="157" t="str">
        <f>VLOOKUP($C450,[1]ORÇ_ANALITICO!$B$10:$L$137,4,0)</f>
        <v>REVESTIMENTO DE PISO CERAMICO EM PORCELANATO,ACABAMENTO DA BORDA RETIFICADO,NO FORMATO (60X60)CM,PARA USO EM AREAS COMERCIAIS COM TRAFEGO INTENSO,CONFORME ABNT NBR ISO 13006,ASSENTE EM SUPERFICIE NIVELADA COM ARGAMASSA COLANTE E REJUNTAMENTO PRONTO</v>
      </c>
      <c r="E450" s="157" t="e">
        <f>VLOOKUP(D450,[1]ORÇ_ANALITICO!C320:M419,2,0)</f>
        <v>#N/A</v>
      </c>
      <c r="F450" s="157" t="e">
        <f>VLOOKUP(E450,[1]ORÇ_ANALITICO!E320:N419,2,0)</f>
        <v>#N/A</v>
      </c>
      <c r="G450" s="157" t="e">
        <f>VLOOKUP(F450,[1]ORÇ_ANALITICO!F320:O419,2,0)</f>
        <v>#N/A</v>
      </c>
      <c r="H450" s="157" t="e">
        <f>VLOOKUP(G450,[1]ORÇ_ANALITICO!G320:P419,2,0)</f>
        <v>#N/A</v>
      </c>
      <c r="I450" s="157" t="e">
        <f>VLOOKUP(H450,[1]ORÇ_ANALITICO!H320:Q419,2,0)</f>
        <v>#N/A</v>
      </c>
      <c r="J450" s="157" t="e">
        <f>VLOOKUP(I450,[1]ORÇ_ANALITICO!I320:R419,2,0)</f>
        <v>#N/A</v>
      </c>
      <c r="K450" s="157" t="e">
        <f>VLOOKUP(J450,[1]ORÇ_ANALITICO!J320:S419,2,0)</f>
        <v>#N/A</v>
      </c>
      <c r="L450" s="157" t="e">
        <f>VLOOKUP(K450,[1]ORÇ_ANALITICO!K320:T419,2,0)</f>
        <v>#N/A</v>
      </c>
      <c r="M450" s="157" t="e">
        <f>VLOOKUP(L450,[1]ORÇ_ANALITICO!L320:U419,2,0)</f>
        <v>#N/A</v>
      </c>
      <c r="N450" s="157" t="e">
        <f>VLOOKUP(M450,[1]ORÇ_ANALITICO!M320:V419,2,0)</f>
        <v>#N/A</v>
      </c>
      <c r="O450" s="20" t="str">
        <f>VLOOKUP($C450,[1]ORÇ_ANALITICO!$B$10:$L$137,5,0)</f>
        <v>M2</v>
      </c>
      <c r="P450" s="20">
        <f>E466</f>
        <v>192.64000000000004</v>
      </c>
      <c r="Q450" s="6"/>
    </row>
    <row r="451" spans="1:17" s="7" customFormat="1" ht="66" customHeight="1" x14ac:dyDescent="0.25">
      <c r="A451" s="8"/>
      <c r="B451" s="9"/>
      <c r="C451" s="52"/>
      <c r="D451" s="27"/>
      <c r="E451" s="26"/>
      <c r="F451" s="26"/>
      <c r="L451" s="10"/>
      <c r="P451" s="11"/>
      <c r="Q451" s="6"/>
    </row>
    <row r="452" spans="1:17" s="7" customFormat="1" ht="66" customHeight="1" x14ac:dyDescent="0.25">
      <c r="A452" s="8"/>
      <c r="B452" s="9"/>
      <c r="C452" s="22"/>
      <c r="D452" s="24"/>
      <c r="E452" s="48" t="s">
        <v>57</v>
      </c>
      <c r="F452" s="48"/>
      <c r="L452" s="10"/>
      <c r="P452" s="11"/>
      <c r="Q452" s="6"/>
    </row>
    <row r="453" spans="1:17" s="7" customFormat="1" ht="66" customHeight="1" x14ac:dyDescent="0.25">
      <c r="A453" s="8"/>
      <c r="B453" s="9"/>
      <c r="C453" s="22" t="s">
        <v>59</v>
      </c>
      <c r="D453" s="24" t="s">
        <v>12</v>
      </c>
      <c r="E453" s="48">
        <v>41.1</v>
      </c>
      <c r="F453" s="48" t="s">
        <v>25</v>
      </c>
      <c r="L453" s="10"/>
      <c r="P453" s="11"/>
      <c r="Q453" s="6"/>
    </row>
    <row r="454" spans="1:17" s="7" customFormat="1" ht="66" customHeight="1" x14ac:dyDescent="0.25">
      <c r="A454" s="8"/>
      <c r="B454" s="9"/>
      <c r="C454" s="22" t="s">
        <v>123</v>
      </c>
      <c r="D454" s="24" t="s">
        <v>12</v>
      </c>
      <c r="E454" s="48">
        <v>5.26</v>
      </c>
      <c r="F454" s="48" t="s">
        <v>25</v>
      </c>
      <c r="L454" s="10"/>
      <c r="P454" s="11"/>
      <c r="Q454" s="6"/>
    </row>
    <row r="455" spans="1:17" s="7" customFormat="1" ht="66" customHeight="1" x14ac:dyDescent="0.25">
      <c r="A455" s="8"/>
      <c r="B455" s="9"/>
      <c r="C455" s="22" t="s">
        <v>106</v>
      </c>
      <c r="D455" s="24" t="s">
        <v>12</v>
      </c>
      <c r="E455" s="48">
        <v>7.5</v>
      </c>
      <c r="F455" s="48" t="s">
        <v>25</v>
      </c>
      <c r="L455" s="10"/>
      <c r="P455" s="11"/>
      <c r="Q455" s="6"/>
    </row>
    <row r="456" spans="1:17" s="7" customFormat="1" ht="66" customHeight="1" x14ac:dyDescent="0.25">
      <c r="A456" s="8"/>
      <c r="B456" s="9"/>
      <c r="C456" s="22" t="s">
        <v>107</v>
      </c>
      <c r="D456" s="24" t="s">
        <v>12</v>
      </c>
      <c r="E456" s="48">
        <v>7.41</v>
      </c>
      <c r="F456" s="48" t="s">
        <v>25</v>
      </c>
      <c r="L456" s="10"/>
      <c r="P456" s="11"/>
      <c r="Q456" s="6"/>
    </row>
    <row r="457" spans="1:17" s="7" customFormat="1" ht="66" customHeight="1" x14ac:dyDescent="0.25">
      <c r="A457" s="8"/>
      <c r="B457" s="9"/>
      <c r="C457" s="22" t="s">
        <v>124</v>
      </c>
      <c r="D457" s="24" t="s">
        <v>12</v>
      </c>
      <c r="E457" s="48">
        <v>29.88</v>
      </c>
      <c r="F457" s="48" t="s">
        <v>25</v>
      </c>
      <c r="L457" s="10"/>
      <c r="P457" s="11"/>
      <c r="Q457" s="6"/>
    </row>
    <row r="458" spans="1:17" s="7" customFormat="1" ht="66" customHeight="1" x14ac:dyDescent="0.25">
      <c r="A458" s="8"/>
      <c r="B458" s="9"/>
      <c r="C458" s="22" t="s">
        <v>104</v>
      </c>
      <c r="D458" s="24" t="s">
        <v>12</v>
      </c>
      <c r="E458" s="48">
        <v>13.07</v>
      </c>
      <c r="F458" s="48" t="s">
        <v>25</v>
      </c>
      <c r="L458" s="10"/>
      <c r="P458" s="11"/>
      <c r="Q458" s="6"/>
    </row>
    <row r="459" spans="1:17" s="7" customFormat="1" ht="66" customHeight="1" x14ac:dyDescent="0.25">
      <c r="A459" s="8"/>
      <c r="B459" s="9"/>
      <c r="C459" s="22" t="s">
        <v>67</v>
      </c>
      <c r="D459" s="24" t="s">
        <v>12</v>
      </c>
      <c r="E459" s="48">
        <v>5.98</v>
      </c>
      <c r="F459" s="48" t="s">
        <v>25</v>
      </c>
      <c r="L459" s="10"/>
      <c r="P459" s="11"/>
      <c r="Q459" s="6"/>
    </row>
    <row r="460" spans="1:17" s="7" customFormat="1" ht="66" customHeight="1" x14ac:dyDescent="0.25">
      <c r="A460" s="8"/>
      <c r="B460" s="9"/>
      <c r="C460" s="22" t="s">
        <v>109</v>
      </c>
      <c r="D460" s="24" t="s">
        <v>12</v>
      </c>
      <c r="E460" s="48">
        <v>8.41</v>
      </c>
      <c r="F460" s="48" t="s">
        <v>25</v>
      </c>
      <c r="L460" s="10"/>
      <c r="P460" s="11"/>
      <c r="Q460" s="6"/>
    </row>
    <row r="461" spans="1:17" s="7" customFormat="1" ht="66" customHeight="1" x14ac:dyDescent="0.25">
      <c r="A461" s="8"/>
      <c r="B461" s="9"/>
      <c r="C461" s="22" t="s">
        <v>110</v>
      </c>
      <c r="D461" s="24" t="s">
        <v>12</v>
      </c>
      <c r="E461" s="48">
        <v>7.82</v>
      </c>
      <c r="F461" s="48" t="s">
        <v>25</v>
      </c>
      <c r="L461" s="10"/>
      <c r="P461" s="11"/>
      <c r="Q461" s="6"/>
    </row>
    <row r="462" spans="1:17" s="7" customFormat="1" ht="66" customHeight="1" x14ac:dyDescent="0.25">
      <c r="A462" s="8"/>
      <c r="B462" s="9"/>
      <c r="C462" s="22" t="s">
        <v>71</v>
      </c>
      <c r="D462" s="24" t="s">
        <v>12</v>
      </c>
      <c r="E462" s="48">
        <v>20.27</v>
      </c>
      <c r="F462" s="48" t="s">
        <v>25</v>
      </c>
      <c r="L462" s="10"/>
      <c r="P462" s="11"/>
      <c r="Q462" s="6"/>
    </row>
    <row r="463" spans="1:17" s="7" customFormat="1" ht="66" customHeight="1" x14ac:dyDescent="0.25">
      <c r="A463" s="8"/>
      <c r="B463" s="9"/>
      <c r="C463" s="22" t="s">
        <v>72</v>
      </c>
      <c r="D463" s="24" t="s">
        <v>12</v>
      </c>
      <c r="E463" s="48">
        <v>12.24</v>
      </c>
      <c r="F463" s="48" t="s">
        <v>25</v>
      </c>
      <c r="L463" s="10"/>
      <c r="P463" s="11"/>
      <c r="Q463" s="6"/>
    </row>
    <row r="464" spans="1:17" s="7" customFormat="1" ht="66" customHeight="1" x14ac:dyDescent="0.25">
      <c r="A464" s="8"/>
      <c r="B464" s="9"/>
      <c r="C464" s="22" t="s">
        <v>125</v>
      </c>
      <c r="D464" s="24" t="s">
        <v>12</v>
      </c>
      <c r="E464" s="48">
        <v>33.700000000000003</v>
      </c>
      <c r="F464" s="48" t="s">
        <v>25</v>
      </c>
      <c r="L464" s="10"/>
      <c r="P464" s="11"/>
      <c r="Q464" s="6"/>
    </row>
    <row r="465" spans="1:17" s="7" customFormat="1" ht="66" customHeight="1" x14ac:dyDescent="0.25">
      <c r="A465" s="8"/>
      <c r="B465" s="9"/>
      <c r="C465" s="22"/>
      <c r="D465" s="24"/>
      <c r="E465" s="48"/>
      <c r="F465" s="48"/>
      <c r="L465" s="10"/>
      <c r="P465" s="11"/>
      <c r="Q465" s="6"/>
    </row>
    <row r="466" spans="1:17" s="7" customFormat="1" ht="66" customHeight="1" x14ac:dyDescent="0.25">
      <c r="A466" s="8"/>
      <c r="B466" s="9"/>
      <c r="C466" s="52" t="s">
        <v>48</v>
      </c>
      <c r="D466" s="27" t="s">
        <v>12</v>
      </c>
      <c r="E466" s="26">
        <f>SUM(E453:E464)</f>
        <v>192.64000000000004</v>
      </c>
      <c r="F466" s="26" t="s">
        <v>25</v>
      </c>
      <c r="L466" s="10"/>
      <c r="P466" s="11"/>
      <c r="Q466" s="6"/>
    </row>
    <row r="467" spans="1:17" s="7" customFormat="1" ht="66" customHeight="1" x14ac:dyDescent="0.25">
      <c r="A467" s="8"/>
      <c r="B467" s="9"/>
      <c r="C467" s="52"/>
      <c r="D467" s="27"/>
      <c r="E467" s="26"/>
      <c r="F467" s="26"/>
      <c r="L467" s="10"/>
      <c r="P467" s="11"/>
      <c r="Q467" s="6"/>
    </row>
    <row r="468" spans="1:17" s="7" customFormat="1" ht="66" customHeight="1" x14ac:dyDescent="0.25">
      <c r="A468" s="8"/>
      <c r="B468" s="18" t="s">
        <v>173</v>
      </c>
      <c r="C468" s="19" t="str">
        <f>VLOOKUP($B468,[1]ORÇ_ANALITICO!$A$10:$K$137,2,0)</f>
        <v>13.331.0051-0</v>
      </c>
      <c r="D468" s="157" t="str">
        <f>VLOOKUP($C468,[1]ORÇ_ANALITICO!$B$10:$L$137,4,0)</f>
        <v>RODAPE DE CERAMICA EM PORCELANATO,COM 7,5 A 10CM DE ALTURA,ASSENTE CONFORME ITEM 13.025.0058.FEITO A PARTIR DE PLACA DEPORCELANATO COM AREA INFERIOR A 1,00M2</v>
      </c>
      <c r="E468" s="157" t="e">
        <f>VLOOKUP(D468,[1]ORÇ_ANALITICO!C339:M438,2,0)</f>
        <v>#N/A</v>
      </c>
      <c r="F468" s="157" t="e">
        <f>VLOOKUP(E468,[1]ORÇ_ANALITICO!E339:N438,2,0)</f>
        <v>#N/A</v>
      </c>
      <c r="G468" s="157" t="e">
        <f>VLOOKUP(F468,[1]ORÇ_ANALITICO!F339:O438,2,0)</f>
        <v>#N/A</v>
      </c>
      <c r="H468" s="157" t="e">
        <f>VLOOKUP(G468,[1]ORÇ_ANALITICO!G339:P438,2,0)</f>
        <v>#N/A</v>
      </c>
      <c r="I468" s="157" t="e">
        <f>VLOOKUP(H468,[1]ORÇ_ANALITICO!H339:Q438,2,0)</f>
        <v>#N/A</v>
      </c>
      <c r="J468" s="157" t="e">
        <f>VLOOKUP(I468,[1]ORÇ_ANALITICO!I339:R438,2,0)</f>
        <v>#N/A</v>
      </c>
      <c r="K468" s="157" t="e">
        <f>VLOOKUP(J468,[1]ORÇ_ANALITICO!J339:S438,2,0)</f>
        <v>#N/A</v>
      </c>
      <c r="L468" s="157" t="e">
        <f>VLOOKUP(K468,[1]ORÇ_ANALITICO!K339:T438,2,0)</f>
        <v>#N/A</v>
      </c>
      <c r="M468" s="157" t="e">
        <f>VLOOKUP(L468,[1]ORÇ_ANALITICO!L339:U438,2,0)</f>
        <v>#N/A</v>
      </c>
      <c r="N468" s="157" t="e">
        <f>VLOOKUP(M468,[1]ORÇ_ANALITICO!M339:V438,2,0)</f>
        <v>#N/A</v>
      </c>
      <c r="O468" s="20" t="str">
        <f>VLOOKUP($C468,[1]ORÇ_ANALITICO!$B$10:$L$137,5,0)</f>
        <v>M</v>
      </c>
      <c r="P468" s="20">
        <f>I489</f>
        <v>67.350000000000009</v>
      </c>
      <c r="Q468" s="6"/>
    </row>
    <row r="469" spans="1:17" s="7" customFormat="1" ht="66" customHeight="1" x14ac:dyDescent="0.25">
      <c r="A469" s="8"/>
      <c r="B469" s="9"/>
      <c r="C469" s="52"/>
      <c r="D469" s="27"/>
      <c r="E469" s="26"/>
      <c r="F469" s="26"/>
      <c r="L469" s="10"/>
      <c r="P469" s="11"/>
      <c r="Q469" s="6"/>
    </row>
    <row r="470" spans="1:17" s="7" customFormat="1" ht="66" customHeight="1" x14ac:dyDescent="0.25">
      <c r="A470" s="8"/>
      <c r="B470" s="9"/>
      <c r="C470" s="22"/>
      <c r="D470" s="24"/>
      <c r="E470" s="48" t="s">
        <v>22</v>
      </c>
      <c r="F470" s="48"/>
      <c r="G470" s="56"/>
      <c r="H470" s="56"/>
      <c r="I470" s="56"/>
      <c r="J470" s="56"/>
      <c r="L470" s="10"/>
      <c r="P470" s="11"/>
      <c r="Q470" s="6"/>
    </row>
    <row r="471" spans="1:17" s="7" customFormat="1" ht="66" customHeight="1" x14ac:dyDescent="0.25">
      <c r="A471" s="8"/>
      <c r="B471" s="9"/>
      <c r="C471" s="22"/>
      <c r="D471" s="24"/>
      <c r="E471" s="48"/>
      <c r="F471" s="48"/>
      <c r="G471" s="56"/>
      <c r="H471" s="56"/>
      <c r="I471" s="56"/>
      <c r="J471" s="56"/>
      <c r="L471" s="10"/>
      <c r="P471" s="11"/>
      <c r="Q471" s="6"/>
    </row>
    <row r="472" spans="1:17" s="7" customFormat="1" ht="66" customHeight="1" x14ac:dyDescent="0.25">
      <c r="A472" s="8"/>
      <c r="B472" s="9"/>
      <c r="C472" s="22" t="s">
        <v>59</v>
      </c>
      <c r="D472" s="24" t="s">
        <v>12</v>
      </c>
      <c r="E472" s="48">
        <f>(6.85+6+6.85+6)</f>
        <v>25.7</v>
      </c>
      <c r="F472" s="48" t="s">
        <v>158</v>
      </c>
      <c r="G472" s="56"/>
      <c r="H472" s="56"/>
      <c r="I472" s="56"/>
      <c r="J472" s="56"/>
      <c r="L472" s="10"/>
      <c r="P472" s="11"/>
      <c r="Q472" s="6"/>
    </row>
    <row r="473" spans="1:17" s="7" customFormat="1" ht="66" customHeight="1" x14ac:dyDescent="0.25">
      <c r="A473" s="8"/>
      <c r="B473" s="9"/>
      <c r="C473" s="22" t="s">
        <v>124</v>
      </c>
      <c r="D473" s="24" t="s">
        <v>12</v>
      </c>
      <c r="E473" s="48">
        <f>7.2+4.15+7.2+4.15</f>
        <v>22.700000000000003</v>
      </c>
      <c r="F473" s="48" t="s">
        <v>158</v>
      </c>
      <c r="G473" s="56"/>
      <c r="H473" s="56"/>
      <c r="I473" s="56"/>
      <c r="J473" s="56"/>
      <c r="L473" s="10"/>
      <c r="P473" s="11"/>
      <c r="Q473" s="6"/>
    </row>
    <row r="474" spans="1:17" s="7" customFormat="1" ht="66" customHeight="1" x14ac:dyDescent="0.25">
      <c r="A474" s="8"/>
      <c r="B474" s="9"/>
      <c r="C474" s="22" t="s">
        <v>125</v>
      </c>
      <c r="D474" s="24" t="s">
        <v>12</v>
      </c>
      <c r="E474" s="48">
        <f>6.3+5.35+6.3+5.35</f>
        <v>23.299999999999997</v>
      </c>
      <c r="F474" s="48" t="s">
        <v>158</v>
      </c>
      <c r="G474" s="56"/>
      <c r="H474" s="56"/>
      <c r="I474" s="56"/>
      <c r="J474" s="56"/>
      <c r="L474" s="10"/>
      <c r="P474" s="11"/>
      <c r="Q474" s="6"/>
    </row>
    <row r="475" spans="1:17" s="7" customFormat="1" ht="66" customHeight="1" x14ac:dyDescent="0.25">
      <c r="A475" s="8"/>
      <c r="B475" s="9"/>
      <c r="C475" s="22"/>
      <c r="D475" s="24"/>
      <c r="E475" s="48"/>
      <c r="F475" s="48"/>
      <c r="G475" s="56"/>
      <c r="H475" s="56"/>
      <c r="I475" s="56"/>
      <c r="J475" s="56"/>
      <c r="L475" s="10"/>
      <c r="P475" s="11"/>
      <c r="Q475" s="6"/>
    </row>
    <row r="476" spans="1:17" s="7" customFormat="1" ht="66" customHeight="1" x14ac:dyDescent="0.25">
      <c r="A476" s="8"/>
      <c r="B476" s="9"/>
      <c r="C476" s="22" t="s">
        <v>48</v>
      </c>
      <c r="D476" s="24" t="s">
        <v>12</v>
      </c>
      <c r="E476" s="48">
        <f>SUM(E472:E474)</f>
        <v>71.7</v>
      </c>
      <c r="F476" s="48" t="s">
        <v>158</v>
      </c>
      <c r="G476" s="56"/>
      <c r="H476" s="56"/>
      <c r="I476" s="56"/>
      <c r="J476" s="56"/>
      <c r="L476" s="10"/>
      <c r="P476" s="11"/>
      <c r="Q476" s="6"/>
    </row>
    <row r="477" spans="1:17" s="7" customFormat="1" ht="66" customHeight="1" x14ac:dyDescent="0.25">
      <c r="A477" s="8"/>
      <c r="B477" s="9"/>
      <c r="C477" s="22"/>
      <c r="D477" s="24"/>
      <c r="E477" s="48"/>
      <c r="F477" s="48"/>
      <c r="G477" s="56"/>
      <c r="H477" s="56"/>
      <c r="I477" s="56"/>
      <c r="J477" s="56"/>
      <c r="L477" s="10"/>
      <c r="P477" s="11"/>
      <c r="Q477" s="6"/>
    </row>
    <row r="478" spans="1:17" s="7" customFormat="1" ht="66" customHeight="1" x14ac:dyDescent="0.25">
      <c r="A478" s="8"/>
      <c r="B478" s="9"/>
      <c r="C478" s="22" t="s">
        <v>111</v>
      </c>
      <c r="D478" s="24"/>
      <c r="E478" s="48" t="s">
        <v>22</v>
      </c>
      <c r="F478" s="48"/>
      <c r="G478" s="56" t="s">
        <v>75</v>
      </c>
      <c r="H478" s="56"/>
      <c r="I478" s="56"/>
      <c r="J478" s="56"/>
      <c r="L478" s="10"/>
      <c r="P478" s="11"/>
      <c r="Q478" s="6"/>
    </row>
    <row r="479" spans="1:17" s="7" customFormat="1" ht="66" customHeight="1" x14ac:dyDescent="0.25">
      <c r="A479" s="8"/>
      <c r="B479" s="9"/>
      <c r="C479" s="22"/>
      <c r="D479" s="24"/>
      <c r="E479" s="48"/>
      <c r="F479" s="48"/>
      <c r="G479" s="56"/>
      <c r="H479" s="56"/>
      <c r="I479" s="56"/>
      <c r="J479" s="56"/>
      <c r="L479" s="10"/>
      <c r="P479" s="11"/>
      <c r="Q479" s="6"/>
    </row>
    <row r="480" spans="1:17" s="7" customFormat="1" ht="66" customHeight="1" x14ac:dyDescent="0.25">
      <c r="A480" s="8"/>
      <c r="B480" s="9"/>
      <c r="C480" s="22" t="s">
        <v>174</v>
      </c>
      <c r="D480" s="24" t="s">
        <v>12</v>
      </c>
      <c r="E480" s="48">
        <v>0.8</v>
      </c>
      <c r="F480" s="48" t="s">
        <v>24</v>
      </c>
      <c r="G480" s="56">
        <v>1</v>
      </c>
      <c r="H480" s="56" t="s">
        <v>12</v>
      </c>
      <c r="I480" s="56">
        <f>E480*G480</f>
        <v>0.8</v>
      </c>
      <c r="J480" s="56" t="s">
        <v>158</v>
      </c>
      <c r="L480" s="10"/>
      <c r="P480" s="11"/>
      <c r="Q480" s="6"/>
    </row>
    <row r="481" spans="1:17" s="7" customFormat="1" ht="66" customHeight="1" x14ac:dyDescent="0.25">
      <c r="A481" s="8"/>
      <c r="B481" s="9"/>
      <c r="C481" s="22" t="s">
        <v>175</v>
      </c>
      <c r="D481" s="24" t="s">
        <v>12</v>
      </c>
      <c r="E481" s="48">
        <v>1.1499999999999999</v>
      </c>
      <c r="F481" s="48" t="s">
        <v>24</v>
      </c>
      <c r="G481" s="56">
        <v>1</v>
      </c>
      <c r="H481" s="56" t="s">
        <v>12</v>
      </c>
      <c r="I481" s="56">
        <f>E481*G481</f>
        <v>1.1499999999999999</v>
      </c>
      <c r="J481" s="56" t="s">
        <v>158</v>
      </c>
      <c r="L481" s="10"/>
      <c r="P481" s="11"/>
      <c r="Q481" s="6"/>
    </row>
    <row r="482" spans="1:17" s="7" customFormat="1" ht="66" customHeight="1" x14ac:dyDescent="0.25">
      <c r="A482" s="8"/>
      <c r="B482" s="9"/>
      <c r="C482" s="22" t="s">
        <v>112</v>
      </c>
      <c r="D482" s="24" t="s">
        <v>12</v>
      </c>
      <c r="E482" s="48">
        <v>0.8</v>
      </c>
      <c r="F482" s="48" t="s">
        <v>24</v>
      </c>
      <c r="G482" s="56">
        <v>1</v>
      </c>
      <c r="H482" s="56" t="s">
        <v>12</v>
      </c>
      <c r="I482" s="56">
        <f>E482*G482</f>
        <v>0.8</v>
      </c>
      <c r="J482" s="56" t="s">
        <v>158</v>
      </c>
      <c r="L482" s="10"/>
      <c r="P482" s="11"/>
      <c r="Q482" s="6"/>
    </row>
    <row r="483" spans="1:17" s="7" customFormat="1" ht="66" customHeight="1" x14ac:dyDescent="0.25">
      <c r="A483" s="8"/>
      <c r="B483" s="9"/>
      <c r="C483" s="22" t="s">
        <v>176</v>
      </c>
      <c r="D483" s="24" t="s">
        <v>12</v>
      </c>
      <c r="E483" s="48">
        <v>0.8</v>
      </c>
      <c r="F483" s="48" t="s">
        <v>24</v>
      </c>
      <c r="G483" s="56">
        <v>2</v>
      </c>
      <c r="H483" s="56" t="s">
        <v>12</v>
      </c>
      <c r="I483" s="56">
        <f>E483*G483</f>
        <v>1.6</v>
      </c>
      <c r="J483" s="56" t="s">
        <v>158</v>
      </c>
      <c r="L483" s="10"/>
      <c r="P483" s="11"/>
      <c r="Q483" s="6"/>
    </row>
    <row r="484" spans="1:17" s="7" customFormat="1" ht="66" customHeight="1" x14ac:dyDescent="0.25">
      <c r="A484" s="8"/>
      <c r="B484" s="9"/>
      <c r="C484" s="22"/>
      <c r="D484" s="24"/>
      <c r="E484" s="48"/>
      <c r="F484" s="48"/>
      <c r="G484" s="56"/>
      <c r="H484" s="56"/>
      <c r="I484" s="56"/>
      <c r="J484" s="56"/>
      <c r="L484" s="10"/>
      <c r="P484" s="11"/>
      <c r="Q484" s="6"/>
    </row>
    <row r="485" spans="1:17" s="7" customFormat="1" ht="66" customHeight="1" x14ac:dyDescent="0.25">
      <c r="A485" s="8"/>
      <c r="B485" s="9"/>
      <c r="C485" s="22"/>
      <c r="D485" s="24"/>
      <c r="E485" s="48"/>
      <c r="F485" s="48"/>
      <c r="G485" s="56" t="s">
        <v>48</v>
      </c>
      <c r="H485" s="56" t="s">
        <v>12</v>
      </c>
      <c r="I485" s="56">
        <f>SUM(I480:I483)</f>
        <v>4.3499999999999996</v>
      </c>
      <c r="J485" s="56" t="s">
        <v>158</v>
      </c>
      <c r="L485" s="10"/>
      <c r="P485" s="11"/>
      <c r="Q485" s="6"/>
    </row>
    <row r="486" spans="1:17" s="7" customFormat="1" ht="66" customHeight="1" x14ac:dyDescent="0.25">
      <c r="A486" s="8"/>
      <c r="B486" s="9"/>
      <c r="C486" s="22"/>
      <c r="D486" s="24"/>
      <c r="E486" s="48"/>
      <c r="F486" s="48"/>
      <c r="G486" s="56"/>
      <c r="H486" s="56"/>
      <c r="I486" s="56"/>
      <c r="J486" s="56"/>
      <c r="L486" s="10"/>
      <c r="P486" s="11"/>
      <c r="Q486" s="6"/>
    </row>
    <row r="487" spans="1:17" s="7" customFormat="1" ht="66" customHeight="1" x14ac:dyDescent="0.25">
      <c r="A487" s="8"/>
      <c r="B487" s="9"/>
      <c r="C487" s="22"/>
      <c r="D487" s="24"/>
      <c r="E487" s="48" t="s">
        <v>22</v>
      </c>
      <c r="F487" s="48"/>
      <c r="G487" s="56" t="s">
        <v>111</v>
      </c>
      <c r="H487" s="56"/>
      <c r="I487" s="56"/>
      <c r="J487" s="56"/>
      <c r="L487" s="10"/>
      <c r="P487" s="11"/>
      <c r="Q487" s="6"/>
    </row>
    <row r="488" spans="1:17" s="7" customFormat="1" ht="66" customHeight="1" x14ac:dyDescent="0.25">
      <c r="A488" s="8"/>
      <c r="B488" s="9"/>
      <c r="C488" s="22"/>
      <c r="D488" s="24"/>
      <c r="E488" s="48"/>
      <c r="F488" s="48"/>
      <c r="G488" s="56"/>
      <c r="H488" s="56"/>
      <c r="I488" s="56"/>
      <c r="J488" s="56"/>
      <c r="L488" s="10"/>
      <c r="P488" s="11"/>
      <c r="Q488" s="6"/>
    </row>
    <row r="489" spans="1:17" s="7" customFormat="1" ht="66" customHeight="1" x14ac:dyDescent="0.25">
      <c r="A489" s="8"/>
      <c r="B489" s="9"/>
      <c r="C489" s="22" t="s">
        <v>48</v>
      </c>
      <c r="D489" s="24" t="s">
        <v>12</v>
      </c>
      <c r="E489" s="48">
        <f>E476</f>
        <v>71.7</v>
      </c>
      <c r="F489" s="48" t="s">
        <v>121</v>
      </c>
      <c r="G489" s="56">
        <f>I485</f>
        <v>4.3499999999999996</v>
      </c>
      <c r="H489" s="56" t="s">
        <v>12</v>
      </c>
      <c r="I489" s="66">
        <f>E489-G489</f>
        <v>67.350000000000009</v>
      </c>
      <c r="J489" s="66" t="s">
        <v>158</v>
      </c>
      <c r="L489" s="10"/>
      <c r="P489" s="11"/>
      <c r="Q489" s="6"/>
    </row>
    <row r="490" spans="1:17" s="7" customFormat="1" ht="66" customHeight="1" x14ac:dyDescent="0.25">
      <c r="A490" s="8"/>
      <c r="B490" s="9"/>
      <c r="C490" s="52"/>
      <c r="D490" s="27"/>
      <c r="E490" s="26"/>
      <c r="F490" s="26"/>
      <c r="L490" s="10"/>
      <c r="P490" s="11"/>
      <c r="Q490" s="6"/>
    </row>
    <row r="491" spans="1:17" s="7" customFormat="1" ht="66" customHeight="1" x14ac:dyDescent="0.25">
      <c r="A491" s="8"/>
      <c r="B491" s="9"/>
      <c r="C491" s="52"/>
      <c r="D491" s="27"/>
      <c r="E491" s="26"/>
      <c r="F491" s="26"/>
      <c r="L491" s="10"/>
      <c r="P491" s="11"/>
      <c r="Q491" s="6"/>
    </row>
    <row r="492" spans="1:17" s="7" customFormat="1" ht="66" customHeight="1" x14ac:dyDescent="0.25">
      <c r="A492" s="8"/>
      <c r="B492" s="18" t="s">
        <v>177</v>
      </c>
      <c r="C492" s="19">
        <f>VLOOKUP($B492,[1]ORÇ_ANALITICO!$A$10:$K$137,2,0)</f>
        <v>96122</v>
      </c>
      <c r="D492" s="157" t="str">
        <f>VLOOKUP($C492,[1]ORÇ_ANALITICO!$B$10:$L$137,4,0)</f>
        <v>ACABAMENTOS PARA FORRO (RODA-FORRO EM MADEIRA PINUS). AF_08/2023</v>
      </c>
      <c r="E492" s="157" t="e">
        <f>VLOOKUP(D492,[1]ORÇ_ANALITICO!C363:M462,2,0)</f>
        <v>#N/A</v>
      </c>
      <c r="F492" s="157" t="e">
        <f>VLOOKUP(E492,[1]ORÇ_ANALITICO!E363:N462,2,0)</f>
        <v>#N/A</v>
      </c>
      <c r="G492" s="157" t="e">
        <f>VLOOKUP(F492,[1]ORÇ_ANALITICO!F363:O462,2,0)</f>
        <v>#N/A</v>
      </c>
      <c r="H492" s="157" t="e">
        <f>VLOOKUP(G492,[1]ORÇ_ANALITICO!G363:P462,2,0)</f>
        <v>#N/A</v>
      </c>
      <c r="I492" s="157" t="e">
        <f>VLOOKUP(H492,[1]ORÇ_ANALITICO!H363:Q462,2,0)</f>
        <v>#N/A</v>
      </c>
      <c r="J492" s="157" t="e">
        <f>VLOOKUP(I492,[1]ORÇ_ANALITICO!I363:R462,2,0)</f>
        <v>#N/A</v>
      </c>
      <c r="K492" s="157" t="e">
        <f>VLOOKUP(J492,[1]ORÇ_ANALITICO!J363:S462,2,0)</f>
        <v>#N/A</v>
      </c>
      <c r="L492" s="157" t="e">
        <f>VLOOKUP(K492,[1]ORÇ_ANALITICO!K363:T462,2,0)</f>
        <v>#N/A</v>
      </c>
      <c r="M492" s="157" t="e">
        <f>VLOOKUP(L492,[1]ORÇ_ANALITICO!L363:U462,2,0)</f>
        <v>#N/A</v>
      </c>
      <c r="N492" s="157" t="e">
        <f>VLOOKUP(M492,[1]ORÇ_ANALITICO!M363:V462,2,0)</f>
        <v>#N/A</v>
      </c>
      <c r="O492" s="20" t="str">
        <f>VLOOKUP($C492,[1]ORÇ_ANALITICO!$B$10:$L$137,5,0)</f>
        <v>M</v>
      </c>
      <c r="P492" s="20">
        <f>E510</f>
        <v>335.05</v>
      </c>
      <c r="Q492" s="6"/>
    </row>
    <row r="493" spans="1:17" s="7" customFormat="1" ht="66" customHeight="1" x14ac:dyDescent="0.25">
      <c r="A493" s="8"/>
      <c r="B493" s="9"/>
      <c r="C493" s="52"/>
      <c r="D493" s="27"/>
      <c r="E493" s="26"/>
      <c r="F493" s="26"/>
      <c r="L493" s="10"/>
      <c r="P493" s="11"/>
      <c r="Q493" s="6"/>
    </row>
    <row r="494" spans="1:17" s="7" customFormat="1" ht="66" customHeight="1" x14ac:dyDescent="0.25">
      <c r="A494" s="8"/>
      <c r="B494" s="9"/>
      <c r="C494" s="22"/>
      <c r="D494" s="24"/>
      <c r="E494" s="48" t="s">
        <v>22</v>
      </c>
      <c r="F494" s="48"/>
      <c r="L494" s="10"/>
      <c r="P494" s="11"/>
      <c r="Q494" s="6"/>
    </row>
    <row r="495" spans="1:17" s="7" customFormat="1" ht="66" customHeight="1" x14ac:dyDescent="0.25">
      <c r="A495" s="8"/>
      <c r="B495" s="9"/>
      <c r="C495" s="22"/>
      <c r="D495" s="24"/>
      <c r="E495" s="48"/>
      <c r="F495" s="48"/>
      <c r="L495" s="10"/>
      <c r="P495" s="11"/>
      <c r="Q495" s="6"/>
    </row>
    <row r="496" spans="1:17" s="7" customFormat="1" ht="66" customHeight="1" x14ac:dyDescent="0.25">
      <c r="A496" s="8"/>
      <c r="B496" s="9"/>
      <c r="C496" s="22" t="s">
        <v>58</v>
      </c>
      <c r="D496" s="24" t="s">
        <v>12</v>
      </c>
      <c r="E496" s="48">
        <v>26.1</v>
      </c>
      <c r="F496" s="48" t="s">
        <v>158</v>
      </c>
      <c r="L496" s="10"/>
      <c r="P496" s="11"/>
      <c r="Q496" s="6"/>
    </row>
    <row r="497" spans="1:17" s="7" customFormat="1" ht="66" customHeight="1" x14ac:dyDescent="0.25">
      <c r="A497" s="8"/>
      <c r="B497" s="9"/>
      <c r="C497" s="22" t="s">
        <v>59</v>
      </c>
      <c r="D497" s="24" t="s">
        <v>12</v>
      </c>
      <c r="E497" s="48">
        <v>25.7</v>
      </c>
      <c r="F497" s="48" t="s">
        <v>158</v>
      </c>
      <c r="L497" s="10"/>
      <c r="P497" s="11"/>
      <c r="Q497" s="6"/>
    </row>
    <row r="498" spans="1:17" s="7" customFormat="1" ht="66" customHeight="1" x14ac:dyDescent="0.25">
      <c r="A498" s="8"/>
      <c r="B498" s="9"/>
      <c r="C498" s="22" t="s">
        <v>60</v>
      </c>
      <c r="D498" s="24" t="s">
        <v>12</v>
      </c>
      <c r="E498" s="48">
        <v>17</v>
      </c>
      <c r="F498" s="48" t="s">
        <v>158</v>
      </c>
      <c r="L498" s="10"/>
      <c r="P498" s="11"/>
      <c r="Q498" s="6"/>
    </row>
    <row r="499" spans="1:17" s="7" customFormat="1" ht="66" customHeight="1" x14ac:dyDescent="0.25">
      <c r="A499" s="8"/>
      <c r="B499" s="9"/>
      <c r="C499" s="22" t="s">
        <v>61</v>
      </c>
      <c r="D499" s="24" t="s">
        <v>12</v>
      </c>
      <c r="E499" s="48">
        <v>27.4</v>
      </c>
      <c r="F499" s="48" t="s">
        <v>158</v>
      </c>
      <c r="L499" s="10"/>
      <c r="P499" s="11"/>
      <c r="Q499" s="6"/>
    </row>
    <row r="500" spans="1:17" s="7" customFormat="1" ht="66" customHeight="1" x14ac:dyDescent="0.25">
      <c r="A500" s="8"/>
      <c r="B500" s="9"/>
      <c r="C500" s="22" t="s">
        <v>62</v>
      </c>
      <c r="D500" s="24" t="s">
        <v>12</v>
      </c>
      <c r="E500" s="48">
        <v>18</v>
      </c>
      <c r="F500" s="48" t="s">
        <v>158</v>
      </c>
      <c r="L500" s="10"/>
      <c r="P500" s="11"/>
      <c r="Q500" s="6"/>
    </row>
    <row r="501" spans="1:17" s="7" customFormat="1" ht="66" customHeight="1" x14ac:dyDescent="0.25">
      <c r="A501" s="8"/>
      <c r="B501" s="9"/>
      <c r="C501" s="22" t="s">
        <v>63</v>
      </c>
      <c r="D501" s="24" t="s">
        <v>12</v>
      </c>
      <c r="E501" s="48">
        <v>68.55</v>
      </c>
      <c r="F501" s="48" t="s">
        <v>158</v>
      </c>
      <c r="L501" s="10"/>
      <c r="P501" s="11"/>
      <c r="Q501" s="6"/>
    </row>
    <row r="502" spans="1:17" s="7" customFormat="1" ht="66" customHeight="1" x14ac:dyDescent="0.25">
      <c r="A502" s="8"/>
      <c r="B502" s="9"/>
      <c r="C502" s="22" t="s">
        <v>64</v>
      </c>
      <c r="D502" s="24" t="s">
        <v>12</v>
      </c>
      <c r="E502" s="48">
        <v>31.1</v>
      </c>
      <c r="F502" s="48" t="s">
        <v>158</v>
      </c>
      <c r="L502" s="10"/>
      <c r="P502" s="11"/>
      <c r="Q502" s="6"/>
    </row>
    <row r="503" spans="1:17" s="7" customFormat="1" ht="66" customHeight="1" x14ac:dyDescent="0.25">
      <c r="A503" s="8"/>
      <c r="B503" s="9"/>
      <c r="C503" s="22" t="s">
        <v>65</v>
      </c>
      <c r="D503" s="24" t="s">
        <v>12</v>
      </c>
      <c r="E503" s="48">
        <v>17.2</v>
      </c>
      <c r="F503" s="48" t="s">
        <v>158</v>
      </c>
      <c r="L503" s="10"/>
      <c r="P503" s="11"/>
      <c r="Q503" s="6"/>
    </row>
    <row r="504" spans="1:17" s="7" customFormat="1" ht="66" customHeight="1" x14ac:dyDescent="0.25">
      <c r="A504" s="8"/>
      <c r="B504" s="9"/>
      <c r="C504" s="22" t="s">
        <v>66</v>
      </c>
      <c r="D504" s="24" t="s">
        <v>12</v>
      </c>
      <c r="E504" s="48">
        <v>43.9</v>
      </c>
      <c r="F504" s="48" t="s">
        <v>158</v>
      </c>
      <c r="L504" s="10"/>
      <c r="P504" s="11"/>
      <c r="Q504" s="6"/>
    </row>
    <row r="505" spans="1:17" s="7" customFormat="1" ht="66" customHeight="1" x14ac:dyDescent="0.25">
      <c r="A505" s="8"/>
      <c r="B505" s="9"/>
      <c r="C505" s="22" t="s">
        <v>67</v>
      </c>
      <c r="D505" s="24" t="s">
        <v>12</v>
      </c>
      <c r="E505" s="48">
        <v>10.1</v>
      </c>
      <c r="F505" s="48" t="s">
        <v>158</v>
      </c>
      <c r="L505" s="10"/>
      <c r="P505" s="11"/>
      <c r="Q505" s="6"/>
    </row>
    <row r="506" spans="1:17" s="7" customFormat="1" ht="66" customHeight="1" x14ac:dyDescent="0.25">
      <c r="A506" s="8"/>
      <c r="B506" s="9"/>
      <c r="C506" s="22" t="s">
        <v>68</v>
      </c>
      <c r="D506" s="24" t="s">
        <v>12</v>
      </c>
      <c r="E506" s="48">
        <v>11.6</v>
      </c>
      <c r="F506" s="48" t="s">
        <v>158</v>
      </c>
      <c r="L506" s="10"/>
      <c r="P506" s="11"/>
      <c r="Q506" s="6"/>
    </row>
    <row r="507" spans="1:17" s="7" customFormat="1" ht="66" customHeight="1" x14ac:dyDescent="0.25">
      <c r="A507" s="8"/>
      <c r="B507" s="9"/>
      <c r="C507" s="22" t="s">
        <v>69</v>
      </c>
      <c r="D507" s="24" t="s">
        <v>12</v>
      </c>
      <c r="E507" s="48">
        <v>11.2</v>
      </c>
      <c r="F507" s="48" t="s">
        <v>158</v>
      </c>
      <c r="L507" s="10"/>
      <c r="P507" s="11"/>
      <c r="Q507" s="6"/>
    </row>
    <row r="508" spans="1:17" s="7" customFormat="1" ht="66" customHeight="1" x14ac:dyDescent="0.25">
      <c r="A508" s="8"/>
      <c r="B508" s="9"/>
      <c r="C508" s="22" t="s">
        <v>70</v>
      </c>
      <c r="D508" s="24" t="s">
        <v>12</v>
      </c>
      <c r="E508" s="48">
        <v>27.2</v>
      </c>
      <c r="F508" s="48" t="s">
        <v>158</v>
      </c>
      <c r="L508" s="10"/>
      <c r="P508" s="11"/>
      <c r="Q508" s="6"/>
    </row>
    <row r="509" spans="1:17" s="7" customFormat="1" ht="66" customHeight="1" x14ac:dyDescent="0.25">
      <c r="A509" s="8"/>
      <c r="B509" s="9"/>
      <c r="C509" s="22"/>
      <c r="D509" s="24"/>
      <c r="E509" s="48"/>
      <c r="F509" s="48"/>
      <c r="L509" s="10"/>
      <c r="P509" s="11"/>
      <c r="Q509" s="6"/>
    </row>
    <row r="510" spans="1:17" s="7" customFormat="1" ht="66" customHeight="1" x14ac:dyDescent="0.25">
      <c r="A510" s="8"/>
      <c r="B510" s="9"/>
      <c r="C510" s="52" t="s">
        <v>48</v>
      </c>
      <c r="D510" s="27" t="s">
        <v>12</v>
      </c>
      <c r="E510" s="26">
        <f>SUM(E496:E508)</f>
        <v>335.05</v>
      </c>
      <c r="F510" s="26" t="s">
        <v>158</v>
      </c>
      <c r="L510" s="10"/>
      <c r="P510" s="11"/>
      <c r="Q510" s="6"/>
    </row>
    <row r="511" spans="1:17" s="7" customFormat="1" ht="66" customHeight="1" x14ac:dyDescent="0.25">
      <c r="A511" s="8"/>
      <c r="B511" s="9"/>
      <c r="C511" s="52"/>
      <c r="D511" s="27"/>
      <c r="E511" s="26"/>
      <c r="F511" s="26"/>
      <c r="L511" s="10"/>
      <c r="P511" s="11"/>
      <c r="Q511" s="6"/>
    </row>
    <row r="512" spans="1:17" s="7" customFormat="1" ht="66" customHeight="1" x14ac:dyDescent="0.25">
      <c r="A512" s="8"/>
      <c r="B512" s="18" t="s">
        <v>178</v>
      </c>
      <c r="C512" s="19" t="str">
        <f>VLOOKUP($B512,[2]ORÇ_ANALITICO!$B$10:$L$137,2,0)</f>
        <v>05.021.0150-0</v>
      </c>
      <c r="D512" s="157" t="str">
        <f>VLOOKUP($C512,[2]ORÇ_ANALITICO!$C$10:$M$137,4,0)</f>
        <v>FITA ANTIDERRAPANTE AUTOADESIVA NA COR PRETA,PARA AREAS INTERNAS E EXTERNAS,COM LARGURA DE 50MM.FORNECIMENTO E COLOCACAO</v>
      </c>
      <c r="E512" s="157" t="e">
        <f>VLOOKUP(D512,[2]ORÇ_ANALITICO!D381:N480,2,0)</f>
        <v>#N/A</v>
      </c>
      <c r="F512" s="157" t="e">
        <f>VLOOKUP(E512,[2]ORÇ_ANALITICO!F381:O480,2,0)</f>
        <v>#N/A</v>
      </c>
      <c r="G512" s="157" t="e">
        <f>VLOOKUP(F512,[2]ORÇ_ANALITICO!G381:P480,2,0)</f>
        <v>#N/A</v>
      </c>
      <c r="H512" s="157" t="e">
        <f>VLOOKUP(G512,[2]ORÇ_ANALITICO!H381:Q480,2,0)</f>
        <v>#N/A</v>
      </c>
      <c r="I512" s="157" t="e">
        <f>VLOOKUP(H512,[2]ORÇ_ANALITICO!I381:R480,2,0)</f>
        <v>#N/A</v>
      </c>
      <c r="J512" s="157" t="e">
        <f>VLOOKUP(I512,[2]ORÇ_ANALITICO!J381:S480,2,0)</f>
        <v>#N/A</v>
      </c>
      <c r="K512" s="157" t="e">
        <f>VLOOKUP(J512,[2]ORÇ_ANALITICO!K381:T480,2,0)</f>
        <v>#N/A</v>
      </c>
      <c r="L512" s="157" t="e">
        <f>VLOOKUP(K512,[2]ORÇ_ANALITICO!L381:U480,2,0)</f>
        <v>#N/A</v>
      </c>
      <c r="M512" s="157" t="e">
        <f>VLOOKUP(L512,[2]ORÇ_ANALITICO!M381:V480,2,0)</f>
        <v>#N/A</v>
      </c>
      <c r="N512" s="157" t="e">
        <f>VLOOKUP(M512,[2]ORÇ_ANALITICO!N381:W480,2,0)</f>
        <v>#N/A</v>
      </c>
      <c r="O512" s="20" t="str">
        <f>VLOOKUP($C512,[2]ORÇ_ANALITICO!$C$10:$M$137,5,0)</f>
        <v>M</v>
      </c>
      <c r="P512" s="20">
        <f>D516</f>
        <v>63</v>
      </c>
      <c r="Q512" s="6"/>
    </row>
    <row r="513" spans="1:17" s="7" customFormat="1" ht="66" customHeight="1" x14ac:dyDescent="0.25">
      <c r="A513" s="8"/>
      <c r="B513" s="9"/>
      <c r="C513" s="52"/>
      <c r="D513" s="27"/>
      <c r="E513" s="26"/>
      <c r="F513" s="26"/>
      <c r="L513" s="10"/>
      <c r="P513" s="11"/>
      <c r="Q513" s="6"/>
    </row>
    <row r="514" spans="1:17" s="7" customFormat="1" ht="66" customHeight="1" x14ac:dyDescent="0.25">
      <c r="A514" s="8"/>
      <c r="B514" s="9"/>
      <c r="C514" s="52"/>
      <c r="D514" s="27"/>
      <c r="E514" s="26"/>
      <c r="F514" s="26"/>
      <c r="L514" s="10"/>
      <c r="P514" s="11"/>
      <c r="Q514" s="6"/>
    </row>
    <row r="515" spans="1:17" s="7" customFormat="1" ht="66" customHeight="1" x14ac:dyDescent="0.25">
      <c r="A515" s="8"/>
      <c r="B515" s="9"/>
      <c r="C515" s="52"/>
      <c r="D515" s="27"/>
      <c r="E515" s="26"/>
      <c r="F515" s="26"/>
      <c r="L515" s="10"/>
      <c r="P515" s="11"/>
      <c r="Q515" s="6"/>
    </row>
    <row r="516" spans="1:17" s="7" customFormat="1" ht="66" customHeight="1" x14ac:dyDescent="0.25">
      <c r="A516" s="8"/>
      <c r="B516" s="9"/>
      <c r="C516" s="52" t="s">
        <v>179</v>
      </c>
      <c r="D516" s="27">
        <v>63</v>
      </c>
      <c r="E516" s="26" t="s">
        <v>158</v>
      </c>
      <c r="F516" s="26"/>
      <c r="L516" s="10"/>
      <c r="P516" s="11"/>
      <c r="Q516" s="6"/>
    </row>
    <row r="517" spans="1:17" s="7" customFormat="1" ht="66" customHeight="1" x14ac:dyDescent="0.25">
      <c r="A517" s="8"/>
      <c r="B517" s="9"/>
      <c r="C517" s="52"/>
      <c r="D517" s="27"/>
      <c r="E517" s="26"/>
      <c r="F517" s="26"/>
      <c r="L517" s="10"/>
      <c r="P517" s="11"/>
      <c r="Q517" s="6"/>
    </row>
    <row r="518" spans="1:17" s="7" customFormat="1" ht="66" customHeight="1" x14ac:dyDescent="0.25">
      <c r="A518" s="8"/>
      <c r="B518" s="9"/>
      <c r="C518" s="52"/>
      <c r="D518" s="27"/>
      <c r="E518" s="26"/>
      <c r="F518" s="26"/>
      <c r="L518" s="10"/>
      <c r="P518" s="11"/>
      <c r="Q518" s="6"/>
    </row>
    <row r="519" spans="1:17" s="7" customFormat="1" ht="66" customHeight="1" x14ac:dyDescent="0.25">
      <c r="A519" s="8"/>
      <c r="B519" s="165" t="str">
        <f>[1]ORÇ_ANALITICO!B52</f>
        <v>ESQUADRIAS</v>
      </c>
      <c r="C519" s="165"/>
      <c r="D519" s="165"/>
      <c r="E519" s="165"/>
      <c r="F519" s="165"/>
      <c r="G519" s="165"/>
      <c r="H519" s="165"/>
      <c r="I519" s="165"/>
      <c r="J519" s="165"/>
      <c r="K519" s="165"/>
      <c r="L519" s="165"/>
      <c r="M519" s="165"/>
      <c r="N519" s="165"/>
      <c r="O519" s="165"/>
      <c r="P519" s="165"/>
      <c r="Q519" s="6"/>
    </row>
    <row r="520" spans="1:17" s="7" customFormat="1" ht="66" customHeight="1" x14ac:dyDescent="0.25">
      <c r="A520" s="8"/>
      <c r="B520" s="18" t="s">
        <v>180</v>
      </c>
      <c r="C520" s="19">
        <f>VLOOKUP($B520,[1]ORÇ_ANALITICO!$A$10:$K$137,2,0)</f>
        <v>100667</v>
      </c>
      <c r="D520" s="157" t="str">
        <f>VLOOKUP($C520,[1]ORÇ_ANALITICO!$B$10:$L$137,4,0)</f>
        <v>JANELA DE MADEIRA IMBUIA/CEDRO ARANA/CEDRO ROSAOU EQUIVALENTE, CAIXA DO BATENTE/ MARCO 10 CM, COM DUAS FOLHAS DE ABRIR TIPO VENEZIANAS E 2 FOLHAS GUILHOTINAS PARA VIDRO (VIDROS NÃO INCLUSOS), COM GUARNIÇÃO/ ALIZAR E FERRAGENS, FIXAÇÃO COM PARAFUSOS E ESPUMA EXPANSIVA, EXCLUSIVE CONTRAMARCO - FORNECIMENTO E INSTALAÇÃO. AF_11/2024</v>
      </c>
      <c r="E520" s="157" t="e">
        <f>VLOOKUP(D520,[1]ORÇ_ANALITICO!C384:M483,2,0)</f>
        <v>#VALUE!</v>
      </c>
      <c r="F520" s="157" t="e">
        <f>VLOOKUP(E520,[1]ORÇ_ANALITICO!E384:N483,2,0)</f>
        <v>#VALUE!</v>
      </c>
      <c r="G520" s="157" t="e">
        <f>VLOOKUP(F520,[1]ORÇ_ANALITICO!F384:O483,2,0)</f>
        <v>#VALUE!</v>
      </c>
      <c r="H520" s="157" t="e">
        <f>VLOOKUP(G520,[1]ORÇ_ANALITICO!G384:P483,2,0)</f>
        <v>#VALUE!</v>
      </c>
      <c r="I520" s="157" t="e">
        <f>VLOOKUP(H520,[1]ORÇ_ANALITICO!H384:Q483,2,0)</f>
        <v>#VALUE!</v>
      </c>
      <c r="J520" s="157" t="e">
        <f>VLOOKUP(I520,[1]ORÇ_ANALITICO!I384:R483,2,0)</f>
        <v>#VALUE!</v>
      </c>
      <c r="K520" s="157" t="e">
        <f>VLOOKUP(J520,[1]ORÇ_ANALITICO!J384:S483,2,0)</f>
        <v>#VALUE!</v>
      </c>
      <c r="L520" s="157" t="e">
        <f>VLOOKUP(K520,[1]ORÇ_ANALITICO!K384:T483,2,0)</f>
        <v>#VALUE!</v>
      </c>
      <c r="M520" s="157" t="e">
        <f>VLOOKUP(L520,[1]ORÇ_ANALITICO!L384:U483,2,0)</f>
        <v>#VALUE!</v>
      </c>
      <c r="N520" s="157" t="e">
        <f>VLOOKUP(M520,[1]ORÇ_ANALITICO!M384:V483,2,0)</f>
        <v>#VALUE!</v>
      </c>
      <c r="O520" s="20" t="str">
        <f>VLOOKUP($C520,[1]ORÇ_ANALITICO!$B$10:$L$137,5,0)</f>
        <v>M2</v>
      </c>
      <c r="P520" s="20">
        <f>K551</f>
        <v>153.44000000000003</v>
      </c>
      <c r="Q520" s="6"/>
    </row>
    <row r="521" spans="1:17" s="7" customFormat="1" ht="66" customHeight="1" x14ac:dyDescent="0.25">
      <c r="A521" s="8"/>
      <c r="B521" s="9"/>
      <c r="C521" s="52"/>
      <c r="D521" s="27"/>
      <c r="E521" s="26"/>
      <c r="F521" s="26"/>
      <c r="L521" s="10"/>
      <c r="P521" s="11"/>
      <c r="Q521" s="6"/>
    </row>
    <row r="522" spans="1:17" s="7" customFormat="1" ht="66" customHeight="1" x14ac:dyDescent="0.25">
      <c r="A522" s="8"/>
      <c r="B522" s="9"/>
      <c r="C522" s="22"/>
      <c r="D522" s="24"/>
      <c r="E522" s="48" t="s">
        <v>22</v>
      </c>
      <c r="F522" s="48"/>
      <c r="G522" s="56" t="s">
        <v>23</v>
      </c>
      <c r="H522" s="56"/>
      <c r="I522" s="56" t="s">
        <v>75</v>
      </c>
      <c r="J522" s="56"/>
      <c r="L522" s="10"/>
      <c r="P522" s="11"/>
      <c r="Q522" s="6"/>
    </row>
    <row r="523" spans="1:17" s="7" customFormat="1" ht="66" customHeight="1" x14ac:dyDescent="0.25">
      <c r="A523" s="8"/>
      <c r="B523" s="9"/>
      <c r="C523" s="22"/>
      <c r="D523" s="24"/>
      <c r="E523" s="48"/>
      <c r="F523" s="48"/>
      <c r="G523" s="56"/>
      <c r="H523" s="56"/>
      <c r="I523" s="56"/>
      <c r="J523" s="56"/>
      <c r="L523" s="10"/>
      <c r="P523" s="11"/>
      <c r="Q523" s="6"/>
    </row>
    <row r="524" spans="1:17" s="7" customFormat="1" ht="66" customHeight="1" x14ac:dyDescent="0.25">
      <c r="A524" s="8"/>
      <c r="B524" s="9"/>
      <c r="C524" s="22" t="s">
        <v>76</v>
      </c>
      <c r="D524" s="24" t="s">
        <v>12</v>
      </c>
      <c r="E524" s="48">
        <v>1.4</v>
      </c>
      <c r="F524" s="48" t="s">
        <v>24</v>
      </c>
      <c r="G524" s="56">
        <v>2.8</v>
      </c>
      <c r="H524" s="56" t="s">
        <v>24</v>
      </c>
      <c r="I524" s="56">
        <v>2</v>
      </c>
      <c r="J524" s="56" t="s">
        <v>12</v>
      </c>
      <c r="K524" s="25">
        <f>E524*G524*I524</f>
        <v>7.839999999999999</v>
      </c>
      <c r="L524" s="32" t="s">
        <v>25</v>
      </c>
      <c r="P524" s="11"/>
      <c r="Q524" s="6"/>
    </row>
    <row r="525" spans="1:17" s="7" customFormat="1" ht="66" customHeight="1" x14ac:dyDescent="0.25">
      <c r="A525" s="8"/>
      <c r="B525" s="9"/>
      <c r="C525" s="22" t="s">
        <v>78</v>
      </c>
      <c r="D525" s="24" t="s">
        <v>12</v>
      </c>
      <c r="E525" s="48">
        <v>1.4</v>
      </c>
      <c r="F525" s="48" t="s">
        <v>24</v>
      </c>
      <c r="G525" s="56">
        <v>2.8</v>
      </c>
      <c r="H525" s="56" t="s">
        <v>24</v>
      </c>
      <c r="I525" s="56">
        <v>2</v>
      </c>
      <c r="J525" s="56" t="s">
        <v>12</v>
      </c>
      <c r="K525" s="25">
        <f t="shared" ref="K525:K537" si="11">E525*G525*I525</f>
        <v>7.839999999999999</v>
      </c>
      <c r="L525" s="32" t="s">
        <v>25</v>
      </c>
      <c r="P525" s="11"/>
      <c r="Q525" s="6"/>
    </row>
    <row r="526" spans="1:17" s="7" customFormat="1" ht="66" customHeight="1" x14ac:dyDescent="0.25">
      <c r="A526" s="8"/>
      <c r="B526" s="9"/>
      <c r="C526" s="22" t="s">
        <v>79</v>
      </c>
      <c r="D526" s="24" t="s">
        <v>12</v>
      </c>
      <c r="E526" s="48">
        <v>1.4</v>
      </c>
      <c r="F526" s="48" t="s">
        <v>24</v>
      </c>
      <c r="G526" s="56">
        <v>2.8</v>
      </c>
      <c r="H526" s="56" t="s">
        <v>24</v>
      </c>
      <c r="I526" s="56">
        <v>2</v>
      </c>
      <c r="J526" s="56" t="s">
        <v>12</v>
      </c>
      <c r="K526" s="25">
        <f t="shared" si="11"/>
        <v>7.839999999999999</v>
      </c>
      <c r="L526" s="32" t="s">
        <v>25</v>
      </c>
      <c r="P526" s="11"/>
      <c r="Q526" s="6"/>
    </row>
    <row r="527" spans="1:17" s="7" customFormat="1" ht="66" customHeight="1" x14ac:dyDescent="0.25">
      <c r="A527" s="8"/>
      <c r="B527" s="9"/>
      <c r="C527" s="22" t="s">
        <v>80</v>
      </c>
      <c r="D527" s="24" t="s">
        <v>12</v>
      </c>
      <c r="E527" s="48">
        <v>1.4</v>
      </c>
      <c r="F527" s="48" t="s">
        <v>24</v>
      </c>
      <c r="G527" s="56">
        <v>2.4</v>
      </c>
      <c r="H527" s="56" t="s">
        <v>24</v>
      </c>
      <c r="I527" s="56">
        <v>2</v>
      </c>
      <c r="J527" s="56" t="s">
        <v>12</v>
      </c>
      <c r="K527" s="25">
        <f t="shared" si="11"/>
        <v>6.72</v>
      </c>
      <c r="L527" s="32" t="s">
        <v>25</v>
      </c>
      <c r="P527" s="11"/>
      <c r="Q527" s="6"/>
    </row>
    <row r="528" spans="1:17" s="7" customFormat="1" ht="66" customHeight="1" x14ac:dyDescent="0.25">
      <c r="A528" s="8"/>
      <c r="B528" s="9"/>
      <c r="C528" s="22" t="s">
        <v>81</v>
      </c>
      <c r="D528" s="24" t="s">
        <v>12</v>
      </c>
      <c r="E528" s="48">
        <v>1.4</v>
      </c>
      <c r="F528" s="48" t="s">
        <v>24</v>
      </c>
      <c r="G528" s="56">
        <v>2.8</v>
      </c>
      <c r="H528" s="56" t="s">
        <v>24</v>
      </c>
      <c r="I528" s="56">
        <v>1</v>
      </c>
      <c r="J528" s="56" t="s">
        <v>12</v>
      </c>
      <c r="K528" s="25">
        <f t="shared" si="11"/>
        <v>3.9199999999999995</v>
      </c>
      <c r="L528" s="32" t="s">
        <v>25</v>
      </c>
      <c r="P528" s="11"/>
      <c r="Q528" s="6"/>
    </row>
    <row r="529" spans="1:17" s="7" customFormat="1" ht="66" customHeight="1" x14ac:dyDescent="0.25">
      <c r="A529" s="8"/>
      <c r="B529" s="9"/>
      <c r="C529" s="22" t="s">
        <v>82</v>
      </c>
      <c r="D529" s="24" t="s">
        <v>12</v>
      </c>
      <c r="E529" s="48">
        <v>1.4</v>
      </c>
      <c r="F529" s="48" t="s">
        <v>24</v>
      </c>
      <c r="G529" s="56">
        <v>2.4</v>
      </c>
      <c r="H529" s="56" t="s">
        <v>24</v>
      </c>
      <c r="I529" s="56">
        <v>2</v>
      </c>
      <c r="J529" s="56" t="s">
        <v>12</v>
      </c>
      <c r="K529" s="25">
        <f t="shared" si="11"/>
        <v>6.72</v>
      </c>
      <c r="L529" s="32" t="s">
        <v>25</v>
      </c>
      <c r="P529" s="11"/>
      <c r="Q529" s="6"/>
    </row>
    <row r="530" spans="1:17" s="7" customFormat="1" ht="66" customHeight="1" x14ac:dyDescent="0.25">
      <c r="A530" s="8"/>
      <c r="B530" s="9"/>
      <c r="C530" s="22" t="s">
        <v>83</v>
      </c>
      <c r="D530" s="24" t="s">
        <v>12</v>
      </c>
      <c r="E530" s="48">
        <v>1.4</v>
      </c>
      <c r="F530" s="48" t="s">
        <v>24</v>
      </c>
      <c r="G530" s="56">
        <v>2.8</v>
      </c>
      <c r="H530" s="56" t="s">
        <v>24</v>
      </c>
      <c r="I530" s="56">
        <v>1</v>
      </c>
      <c r="J530" s="56" t="s">
        <v>12</v>
      </c>
      <c r="K530" s="25">
        <f t="shared" si="11"/>
        <v>3.9199999999999995</v>
      </c>
      <c r="L530" s="32" t="s">
        <v>25</v>
      </c>
      <c r="P530" s="11"/>
      <c r="Q530" s="6"/>
    </row>
    <row r="531" spans="1:17" s="7" customFormat="1" ht="66" customHeight="1" x14ac:dyDescent="0.25">
      <c r="A531" s="8"/>
      <c r="B531" s="9"/>
      <c r="C531" s="22" t="s">
        <v>84</v>
      </c>
      <c r="D531" s="24" t="s">
        <v>12</v>
      </c>
      <c r="E531" s="48">
        <v>1.4</v>
      </c>
      <c r="F531" s="48" t="s">
        <v>24</v>
      </c>
      <c r="G531" s="56">
        <v>2.8</v>
      </c>
      <c r="H531" s="56" t="s">
        <v>24</v>
      </c>
      <c r="I531" s="56">
        <v>2</v>
      </c>
      <c r="J531" s="56" t="s">
        <v>12</v>
      </c>
      <c r="K531" s="25">
        <f t="shared" si="11"/>
        <v>7.839999999999999</v>
      </c>
      <c r="L531" s="32" t="s">
        <v>25</v>
      </c>
      <c r="P531" s="11"/>
      <c r="Q531" s="6"/>
    </row>
    <row r="532" spans="1:17" s="7" customFormat="1" ht="66" customHeight="1" x14ac:dyDescent="0.25">
      <c r="A532" s="8"/>
      <c r="B532" s="9"/>
      <c r="C532" s="22" t="s">
        <v>85</v>
      </c>
      <c r="D532" s="24" t="s">
        <v>12</v>
      </c>
      <c r="E532" s="48">
        <v>1.4</v>
      </c>
      <c r="F532" s="48" t="s">
        <v>24</v>
      </c>
      <c r="G532" s="56">
        <v>2.8</v>
      </c>
      <c r="H532" s="56" t="s">
        <v>24</v>
      </c>
      <c r="I532" s="56">
        <v>1</v>
      </c>
      <c r="J532" s="56" t="s">
        <v>12</v>
      </c>
      <c r="K532" s="25">
        <f t="shared" si="11"/>
        <v>3.9199999999999995</v>
      </c>
      <c r="L532" s="32" t="s">
        <v>25</v>
      </c>
      <c r="P532" s="11"/>
      <c r="Q532" s="6"/>
    </row>
    <row r="533" spans="1:17" s="7" customFormat="1" ht="66" customHeight="1" x14ac:dyDescent="0.25">
      <c r="A533" s="8"/>
      <c r="B533" s="9"/>
      <c r="C533" s="22" t="s">
        <v>86</v>
      </c>
      <c r="D533" s="24" t="s">
        <v>12</v>
      </c>
      <c r="E533" s="48">
        <v>1.4</v>
      </c>
      <c r="F533" s="48" t="s">
        <v>24</v>
      </c>
      <c r="G533" s="56">
        <v>2.8</v>
      </c>
      <c r="H533" s="56" t="s">
        <v>24</v>
      </c>
      <c r="I533" s="56">
        <v>4</v>
      </c>
      <c r="J533" s="56" t="s">
        <v>12</v>
      </c>
      <c r="K533" s="25">
        <f t="shared" si="11"/>
        <v>15.679999999999998</v>
      </c>
      <c r="L533" s="32" t="s">
        <v>25</v>
      </c>
      <c r="P533" s="11"/>
      <c r="Q533" s="6"/>
    </row>
    <row r="534" spans="1:17" s="7" customFormat="1" ht="66" customHeight="1" x14ac:dyDescent="0.25">
      <c r="A534" s="8"/>
      <c r="B534" s="9"/>
      <c r="C534" s="22" t="s">
        <v>87</v>
      </c>
      <c r="D534" s="24" t="s">
        <v>12</v>
      </c>
      <c r="E534" s="48">
        <v>1.4</v>
      </c>
      <c r="F534" s="48" t="s">
        <v>24</v>
      </c>
      <c r="G534" s="56">
        <v>2.8</v>
      </c>
      <c r="H534" s="56" t="s">
        <v>24</v>
      </c>
      <c r="I534" s="56">
        <v>1</v>
      </c>
      <c r="J534" s="56" t="s">
        <v>12</v>
      </c>
      <c r="K534" s="25">
        <f t="shared" si="11"/>
        <v>3.9199999999999995</v>
      </c>
      <c r="L534" s="32" t="s">
        <v>25</v>
      </c>
      <c r="P534" s="11"/>
      <c r="Q534" s="6"/>
    </row>
    <row r="535" spans="1:17" s="7" customFormat="1" ht="66" customHeight="1" x14ac:dyDescent="0.25">
      <c r="A535" s="8"/>
      <c r="B535" s="9"/>
      <c r="C535" s="22" t="s">
        <v>88</v>
      </c>
      <c r="D535" s="24" t="s">
        <v>12</v>
      </c>
      <c r="E535" s="48">
        <v>1.4</v>
      </c>
      <c r="F535" s="48" t="s">
        <v>24</v>
      </c>
      <c r="G535" s="56">
        <v>2.4</v>
      </c>
      <c r="H535" s="56" t="s">
        <v>24</v>
      </c>
      <c r="I535" s="56">
        <v>1</v>
      </c>
      <c r="J535" s="56" t="s">
        <v>12</v>
      </c>
      <c r="K535" s="25">
        <f t="shared" si="11"/>
        <v>3.36</v>
      </c>
      <c r="L535" s="32" t="s">
        <v>25</v>
      </c>
      <c r="P535" s="11"/>
      <c r="Q535" s="6"/>
    </row>
    <row r="536" spans="1:17" s="7" customFormat="1" ht="66" customHeight="1" x14ac:dyDescent="0.25">
      <c r="A536" s="8"/>
      <c r="B536" s="9"/>
      <c r="C536" s="22" t="s">
        <v>89</v>
      </c>
      <c r="D536" s="24" t="s">
        <v>12</v>
      </c>
      <c r="E536" s="48">
        <v>1.4</v>
      </c>
      <c r="F536" s="48" t="s">
        <v>24</v>
      </c>
      <c r="G536" s="56">
        <v>2.4</v>
      </c>
      <c r="H536" s="56" t="s">
        <v>24</v>
      </c>
      <c r="I536" s="56">
        <v>1</v>
      </c>
      <c r="J536" s="56" t="s">
        <v>12</v>
      </c>
      <c r="K536" s="25">
        <f t="shared" si="11"/>
        <v>3.36</v>
      </c>
      <c r="L536" s="32" t="s">
        <v>25</v>
      </c>
      <c r="P536" s="11"/>
      <c r="Q536" s="6"/>
    </row>
    <row r="537" spans="1:17" s="7" customFormat="1" ht="66" customHeight="1" x14ac:dyDescent="0.25">
      <c r="A537" s="8"/>
      <c r="B537" s="9"/>
      <c r="C537" s="22" t="s">
        <v>90</v>
      </c>
      <c r="D537" s="24" t="s">
        <v>12</v>
      </c>
      <c r="E537" s="48">
        <v>1.4</v>
      </c>
      <c r="F537" s="48" t="s">
        <v>24</v>
      </c>
      <c r="G537" s="56">
        <v>2.4</v>
      </c>
      <c r="H537" s="56" t="s">
        <v>24</v>
      </c>
      <c r="I537" s="56">
        <v>2</v>
      </c>
      <c r="J537" s="56" t="s">
        <v>12</v>
      </c>
      <c r="K537" s="25">
        <f t="shared" si="11"/>
        <v>6.72</v>
      </c>
      <c r="L537" s="32" t="s">
        <v>25</v>
      </c>
      <c r="P537" s="11"/>
      <c r="Q537" s="6"/>
    </row>
    <row r="538" spans="1:17" s="7" customFormat="1" ht="66" customHeight="1" x14ac:dyDescent="0.25">
      <c r="A538" s="8"/>
      <c r="B538" s="9"/>
      <c r="C538" s="22" t="s">
        <v>91</v>
      </c>
      <c r="D538" s="24" t="s">
        <v>12</v>
      </c>
      <c r="E538" s="48">
        <v>1.4</v>
      </c>
      <c r="F538" s="48" t="s">
        <v>24</v>
      </c>
      <c r="G538" s="56">
        <v>2.4</v>
      </c>
      <c r="H538" s="56" t="s">
        <v>24</v>
      </c>
      <c r="I538" s="56">
        <v>2</v>
      </c>
      <c r="J538" s="56" t="s">
        <v>12</v>
      </c>
      <c r="K538" s="25">
        <f>E538*G538*I538</f>
        <v>6.72</v>
      </c>
      <c r="L538" s="32" t="s">
        <v>25</v>
      </c>
      <c r="P538" s="11"/>
      <c r="Q538" s="6"/>
    </row>
    <row r="539" spans="1:17" s="7" customFormat="1" ht="66" customHeight="1" x14ac:dyDescent="0.25">
      <c r="A539" s="8"/>
      <c r="B539" s="9"/>
      <c r="C539" s="10"/>
      <c r="L539" s="10"/>
      <c r="P539" s="11"/>
      <c r="Q539" s="6"/>
    </row>
    <row r="540" spans="1:17" s="7" customFormat="1" ht="66" customHeight="1" x14ac:dyDescent="0.25">
      <c r="A540" s="8"/>
      <c r="B540" s="9"/>
      <c r="C540" s="22" t="s">
        <v>92</v>
      </c>
      <c r="D540" s="24" t="s">
        <v>12</v>
      </c>
      <c r="E540" s="48">
        <v>1.4</v>
      </c>
      <c r="F540" s="48" t="s">
        <v>24</v>
      </c>
      <c r="G540" s="56">
        <v>2.4</v>
      </c>
      <c r="H540" s="56" t="s">
        <v>24</v>
      </c>
      <c r="I540" s="56">
        <v>1</v>
      </c>
      <c r="J540" s="56" t="s">
        <v>12</v>
      </c>
      <c r="K540" s="25">
        <f t="shared" ref="K540:K546" si="12">E540*G540*I540</f>
        <v>3.36</v>
      </c>
      <c r="L540" s="32" t="s">
        <v>25</v>
      </c>
      <c r="P540" s="11"/>
      <c r="Q540" s="6"/>
    </row>
    <row r="541" spans="1:17" s="7" customFormat="1" ht="66" customHeight="1" x14ac:dyDescent="0.25">
      <c r="A541" s="8"/>
      <c r="B541" s="9"/>
      <c r="C541" s="22" t="s">
        <v>93</v>
      </c>
      <c r="D541" s="24" t="s">
        <v>12</v>
      </c>
      <c r="E541" s="48">
        <v>1.4</v>
      </c>
      <c r="F541" s="48" t="s">
        <v>24</v>
      </c>
      <c r="G541" s="56">
        <v>2.4</v>
      </c>
      <c r="H541" s="56" t="s">
        <v>24</v>
      </c>
      <c r="I541" s="56">
        <v>1</v>
      </c>
      <c r="J541" s="56" t="s">
        <v>12</v>
      </c>
      <c r="K541" s="25">
        <f t="shared" si="12"/>
        <v>3.36</v>
      </c>
      <c r="L541" s="32" t="s">
        <v>25</v>
      </c>
      <c r="P541" s="11"/>
      <c r="Q541" s="6"/>
    </row>
    <row r="542" spans="1:17" s="7" customFormat="1" ht="66" customHeight="1" x14ac:dyDescent="0.25">
      <c r="A542" s="8"/>
      <c r="B542" s="9"/>
      <c r="C542" s="22" t="s">
        <v>94</v>
      </c>
      <c r="D542" s="24" t="s">
        <v>12</v>
      </c>
      <c r="E542" s="48">
        <v>1.4</v>
      </c>
      <c r="F542" s="48" t="s">
        <v>24</v>
      </c>
      <c r="G542" s="56">
        <v>2.4</v>
      </c>
      <c r="H542" s="56" t="s">
        <v>24</v>
      </c>
      <c r="I542" s="56">
        <v>2</v>
      </c>
      <c r="J542" s="56" t="s">
        <v>12</v>
      </c>
      <c r="K542" s="25">
        <f t="shared" si="12"/>
        <v>6.72</v>
      </c>
      <c r="L542" s="32" t="s">
        <v>25</v>
      </c>
      <c r="P542" s="11"/>
      <c r="Q542" s="6"/>
    </row>
    <row r="543" spans="1:17" s="7" customFormat="1" ht="66" customHeight="1" x14ac:dyDescent="0.25">
      <c r="A543" s="8"/>
      <c r="B543" s="9"/>
      <c r="C543" s="22" t="s">
        <v>95</v>
      </c>
      <c r="D543" s="24" t="s">
        <v>12</v>
      </c>
      <c r="E543" s="48">
        <v>1.4</v>
      </c>
      <c r="F543" s="48" t="s">
        <v>24</v>
      </c>
      <c r="G543" s="56">
        <v>2.4</v>
      </c>
      <c r="H543" s="56" t="s">
        <v>24</v>
      </c>
      <c r="I543" s="56">
        <v>4</v>
      </c>
      <c r="J543" s="56" t="s">
        <v>12</v>
      </c>
      <c r="K543" s="25">
        <f t="shared" si="12"/>
        <v>13.44</v>
      </c>
      <c r="L543" s="32" t="s">
        <v>25</v>
      </c>
      <c r="P543" s="11"/>
      <c r="Q543" s="6"/>
    </row>
    <row r="544" spans="1:17" s="7" customFormat="1" ht="66" customHeight="1" x14ac:dyDescent="0.25">
      <c r="A544" s="8"/>
      <c r="B544" s="9"/>
      <c r="C544" s="22" t="s">
        <v>96</v>
      </c>
      <c r="D544" s="24" t="s">
        <v>12</v>
      </c>
      <c r="E544" s="48">
        <v>1.4</v>
      </c>
      <c r="F544" s="48" t="s">
        <v>24</v>
      </c>
      <c r="G544" s="56">
        <v>2.4</v>
      </c>
      <c r="H544" s="56" t="s">
        <v>24</v>
      </c>
      <c r="I544" s="56">
        <v>2</v>
      </c>
      <c r="J544" s="56" t="s">
        <v>12</v>
      </c>
      <c r="K544" s="25">
        <f t="shared" si="12"/>
        <v>6.72</v>
      </c>
      <c r="L544" s="32" t="s">
        <v>25</v>
      </c>
      <c r="P544" s="11"/>
      <c r="Q544" s="6"/>
    </row>
    <row r="545" spans="1:17" s="7" customFormat="1" ht="66" customHeight="1" x14ac:dyDescent="0.25">
      <c r="A545" s="8"/>
      <c r="B545" s="9"/>
      <c r="C545" s="22" t="s">
        <v>97</v>
      </c>
      <c r="D545" s="24" t="s">
        <v>12</v>
      </c>
      <c r="E545" s="48">
        <v>1.4</v>
      </c>
      <c r="F545" s="48" t="s">
        <v>24</v>
      </c>
      <c r="G545" s="56">
        <v>2.4</v>
      </c>
      <c r="H545" s="56" t="s">
        <v>24</v>
      </c>
      <c r="I545" s="56">
        <v>1</v>
      </c>
      <c r="J545" s="56" t="s">
        <v>12</v>
      </c>
      <c r="K545" s="25">
        <f t="shared" si="12"/>
        <v>3.36</v>
      </c>
      <c r="L545" s="32" t="s">
        <v>25</v>
      </c>
      <c r="P545" s="11"/>
      <c r="Q545" s="6"/>
    </row>
    <row r="546" spans="1:17" s="7" customFormat="1" ht="66" customHeight="1" x14ac:dyDescent="0.25">
      <c r="A546" s="8"/>
      <c r="B546" s="9"/>
      <c r="C546" s="22" t="s">
        <v>98</v>
      </c>
      <c r="D546" s="24" t="s">
        <v>12</v>
      </c>
      <c r="E546" s="48">
        <v>1.4</v>
      </c>
      <c r="F546" s="48" t="s">
        <v>24</v>
      </c>
      <c r="G546" s="56">
        <v>2.4</v>
      </c>
      <c r="H546" s="56" t="s">
        <v>24</v>
      </c>
      <c r="I546" s="56">
        <v>1</v>
      </c>
      <c r="J546" s="56" t="s">
        <v>12</v>
      </c>
      <c r="K546" s="25">
        <f t="shared" si="12"/>
        <v>3.36</v>
      </c>
      <c r="L546" s="32" t="s">
        <v>25</v>
      </c>
      <c r="P546" s="11"/>
      <c r="Q546" s="6"/>
    </row>
    <row r="547" spans="1:17" s="7" customFormat="1" ht="66" customHeight="1" x14ac:dyDescent="0.25">
      <c r="A547" s="8"/>
      <c r="B547" s="9"/>
      <c r="C547" s="22" t="s">
        <v>99</v>
      </c>
      <c r="D547" s="24" t="s">
        <v>12</v>
      </c>
      <c r="E547" s="48">
        <v>1.4</v>
      </c>
      <c r="F547" s="48" t="s">
        <v>24</v>
      </c>
      <c r="G547" s="56">
        <v>2.4</v>
      </c>
      <c r="H547" s="56" t="s">
        <v>24</v>
      </c>
      <c r="I547" s="56">
        <v>1</v>
      </c>
      <c r="J547" s="56" t="s">
        <v>12</v>
      </c>
      <c r="K547" s="25">
        <f>E547*G547*I547</f>
        <v>3.36</v>
      </c>
      <c r="L547" s="32" t="s">
        <v>25</v>
      </c>
      <c r="P547" s="11"/>
      <c r="Q547" s="6"/>
    </row>
    <row r="548" spans="1:17" s="7" customFormat="1" ht="66" customHeight="1" x14ac:dyDescent="0.25">
      <c r="A548" s="8"/>
      <c r="B548" s="9"/>
      <c r="C548" s="22" t="s">
        <v>100</v>
      </c>
      <c r="D548" s="24" t="s">
        <v>12</v>
      </c>
      <c r="E548" s="48">
        <v>1.4</v>
      </c>
      <c r="F548" s="48" t="s">
        <v>24</v>
      </c>
      <c r="G548" s="56">
        <v>2.4</v>
      </c>
      <c r="H548" s="56" t="s">
        <v>24</v>
      </c>
      <c r="I548" s="56">
        <v>2</v>
      </c>
      <c r="J548" s="56" t="s">
        <v>12</v>
      </c>
      <c r="K548" s="25">
        <f>E548*G548*I548</f>
        <v>6.72</v>
      </c>
      <c r="L548" s="32" t="s">
        <v>25</v>
      </c>
      <c r="P548" s="11"/>
      <c r="Q548" s="6"/>
    </row>
    <row r="549" spans="1:17" s="7" customFormat="1" ht="66" customHeight="1" x14ac:dyDescent="0.25">
      <c r="A549" s="8"/>
      <c r="B549" s="9"/>
      <c r="C549" s="22" t="s">
        <v>101</v>
      </c>
      <c r="D549" s="24" t="s">
        <v>12</v>
      </c>
      <c r="E549" s="48">
        <v>1.4</v>
      </c>
      <c r="F549" s="48" t="s">
        <v>24</v>
      </c>
      <c r="G549" s="56">
        <v>2.4</v>
      </c>
      <c r="H549" s="56" t="s">
        <v>24</v>
      </c>
      <c r="I549" s="56">
        <v>2</v>
      </c>
      <c r="J549" s="56" t="s">
        <v>12</v>
      </c>
      <c r="K549" s="25">
        <f>E549*G549*I549</f>
        <v>6.72</v>
      </c>
      <c r="L549" s="32" t="s">
        <v>25</v>
      </c>
      <c r="P549" s="11"/>
      <c r="Q549" s="6"/>
    </row>
    <row r="550" spans="1:17" s="7" customFormat="1" ht="66" customHeight="1" x14ac:dyDescent="0.25">
      <c r="A550" s="8"/>
      <c r="B550" s="9"/>
      <c r="C550" s="22"/>
      <c r="D550" s="24"/>
      <c r="E550" s="48"/>
      <c r="F550" s="48"/>
      <c r="G550" s="56"/>
      <c r="H550" s="56"/>
      <c r="I550" s="56"/>
      <c r="J550" s="56"/>
      <c r="K550" s="32"/>
      <c r="L550" s="32"/>
      <c r="P550" s="11"/>
      <c r="Q550" s="6"/>
    </row>
    <row r="551" spans="1:17" s="7" customFormat="1" ht="66" customHeight="1" x14ac:dyDescent="0.25">
      <c r="A551" s="8"/>
      <c r="B551" s="9"/>
      <c r="C551" s="22"/>
      <c r="D551" s="24"/>
      <c r="E551" s="48"/>
      <c r="F551" s="48"/>
      <c r="G551" s="56"/>
      <c r="H551" s="56"/>
      <c r="I551" s="66" t="s">
        <v>48</v>
      </c>
      <c r="J551" s="66" t="s">
        <v>12</v>
      </c>
      <c r="K551" s="26">
        <f>SUM(K524:K549)</f>
        <v>153.44000000000003</v>
      </c>
      <c r="L551" s="27" t="s">
        <v>25</v>
      </c>
      <c r="P551" s="11"/>
      <c r="Q551" s="6"/>
    </row>
    <row r="552" spans="1:17" s="7" customFormat="1" ht="66" customHeight="1" x14ac:dyDescent="0.25">
      <c r="A552" s="8"/>
      <c r="B552" s="9"/>
      <c r="C552" s="52"/>
      <c r="D552" s="27"/>
      <c r="E552" s="26"/>
      <c r="F552" s="26"/>
      <c r="L552" s="10"/>
      <c r="P552" s="11"/>
      <c r="Q552" s="6"/>
    </row>
    <row r="553" spans="1:17" s="7" customFormat="1" ht="66" customHeight="1" x14ac:dyDescent="0.25">
      <c r="A553" s="8"/>
      <c r="B553" s="18" t="s">
        <v>181</v>
      </c>
      <c r="C553" s="19">
        <f>VLOOKUP($B553,[1]ORÇ_ANALITICO!$A$10:$K$137,2,0)</f>
        <v>100668</v>
      </c>
      <c r="D553" s="157" t="str">
        <f>VLOOKUP($C553,[1]ORÇ_ANALITICO!$B$10:$L$137,4,0)</f>
        <v>JANELA DE MADEIRA CEDRINHO/ ANGELIM COMERCIAL/ CURUPIXA/ CUMARU OU EQUIVALENTE DA REGIÃO, TIPO MAXIMA AR, PARA VIDRO (VIDRO NÃO INCLUSO), CAIXA DO BATENTE/ MARCO DE 10 CM, COM GUARNIÇÕES/ ALIZAR E FERRAGENS, SEM ACABAMENTO, FIXAÇÃO COM PARAFUSOS E ESPUMA EXPANSIVA, EXCLUSIVE CONTRAMARCO - FORNECIMENTO E INSTALAÇÃO. AF_11/2024</v>
      </c>
      <c r="E553" s="157" t="e">
        <f>VLOOKUP(D553,[1]ORÇ_ANALITICO!C417:M516,2,0)</f>
        <v>#VALUE!</v>
      </c>
      <c r="F553" s="157" t="e">
        <f>VLOOKUP(E553,[1]ORÇ_ANALITICO!E417:N516,2,0)</f>
        <v>#VALUE!</v>
      </c>
      <c r="G553" s="157" t="e">
        <f>VLOOKUP(F553,[1]ORÇ_ANALITICO!F417:O516,2,0)</f>
        <v>#VALUE!</v>
      </c>
      <c r="H553" s="157" t="e">
        <f>VLOOKUP(G553,[1]ORÇ_ANALITICO!G417:P516,2,0)</f>
        <v>#VALUE!</v>
      </c>
      <c r="I553" s="157" t="e">
        <f>VLOOKUP(H553,[1]ORÇ_ANALITICO!H417:Q516,2,0)</f>
        <v>#VALUE!</v>
      </c>
      <c r="J553" s="157" t="e">
        <f>VLOOKUP(I553,[1]ORÇ_ANALITICO!I417:R516,2,0)</f>
        <v>#VALUE!</v>
      </c>
      <c r="K553" s="157" t="e">
        <f>VLOOKUP(J553,[1]ORÇ_ANALITICO!J417:S516,2,0)</f>
        <v>#VALUE!</v>
      </c>
      <c r="L553" s="157" t="e">
        <f>VLOOKUP(K553,[1]ORÇ_ANALITICO!K417:T516,2,0)</f>
        <v>#VALUE!</v>
      </c>
      <c r="M553" s="157" t="e">
        <f>VLOOKUP(L553,[1]ORÇ_ANALITICO!L417:U516,2,0)</f>
        <v>#VALUE!</v>
      </c>
      <c r="N553" s="157" t="e">
        <f>VLOOKUP(M553,[1]ORÇ_ANALITICO!M417:V516,2,0)</f>
        <v>#VALUE!</v>
      </c>
      <c r="O553" s="20" t="str">
        <f>VLOOKUP($C553,[1]ORÇ_ANALITICO!$B$10:$L$137,5,0)</f>
        <v>M2</v>
      </c>
      <c r="P553" s="20">
        <f>K557</f>
        <v>2.52</v>
      </c>
      <c r="Q553" s="6"/>
    </row>
    <row r="554" spans="1:17" s="7" customFormat="1" ht="66" customHeight="1" x14ac:dyDescent="0.25">
      <c r="A554" s="8"/>
      <c r="B554" s="9"/>
      <c r="C554" s="52"/>
      <c r="D554" s="27"/>
      <c r="E554" s="26"/>
      <c r="F554" s="26"/>
      <c r="L554" s="10"/>
      <c r="P554" s="11"/>
      <c r="Q554" s="6"/>
    </row>
    <row r="555" spans="1:17" s="7" customFormat="1" ht="66" customHeight="1" x14ac:dyDescent="0.25">
      <c r="A555" s="8"/>
      <c r="B555" s="9"/>
      <c r="C555" s="22"/>
      <c r="D555" s="24"/>
      <c r="E555" s="48" t="s">
        <v>22</v>
      </c>
      <c r="F555" s="48"/>
      <c r="G555" s="56" t="s">
        <v>23</v>
      </c>
      <c r="H555" s="56"/>
      <c r="I555" s="56" t="s">
        <v>75</v>
      </c>
      <c r="J555" s="56"/>
      <c r="K555" s="25"/>
      <c r="L555" s="32"/>
      <c r="P555" s="11"/>
      <c r="Q555" s="6"/>
    </row>
    <row r="556" spans="1:17" s="7" customFormat="1" ht="66" customHeight="1" x14ac:dyDescent="0.25">
      <c r="A556" s="8"/>
      <c r="B556" s="9"/>
      <c r="C556" s="22"/>
      <c r="D556" s="24"/>
      <c r="E556" s="48"/>
      <c r="F556" s="48"/>
      <c r="G556" s="56"/>
      <c r="H556" s="56"/>
      <c r="I556" s="56"/>
      <c r="J556" s="56"/>
      <c r="K556" s="25"/>
      <c r="L556" s="32"/>
      <c r="P556" s="11"/>
      <c r="Q556" s="6"/>
    </row>
    <row r="557" spans="1:17" s="7" customFormat="1" ht="66" customHeight="1" x14ac:dyDescent="0.25">
      <c r="A557" s="8"/>
      <c r="B557" s="9"/>
      <c r="C557" s="22" t="s">
        <v>182</v>
      </c>
      <c r="D557" s="24" t="s">
        <v>12</v>
      </c>
      <c r="E557" s="48">
        <v>0.45</v>
      </c>
      <c r="F557" s="48" t="s">
        <v>24</v>
      </c>
      <c r="G557" s="56">
        <v>1.4</v>
      </c>
      <c r="H557" s="56" t="s">
        <v>24</v>
      </c>
      <c r="I557" s="56">
        <v>4</v>
      </c>
      <c r="J557" s="56" t="s">
        <v>12</v>
      </c>
      <c r="K557" s="26">
        <f>E557*G557*I557</f>
        <v>2.52</v>
      </c>
      <c r="L557" s="27" t="s">
        <v>25</v>
      </c>
      <c r="P557" s="11"/>
      <c r="Q557" s="6"/>
    </row>
    <row r="558" spans="1:17" s="7" customFormat="1" ht="66" customHeight="1" x14ac:dyDescent="0.25">
      <c r="A558" s="8"/>
      <c r="B558" s="9"/>
      <c r="C558" s="52"/>
      <c r="D558" s="27"/>
      <c r="E558" s="26"/>
      <c r="F558" s="26"/>
      <c r="L558" s="10"/>
      <c r="P558" s="11"/>
      <c r="Q558" s="6"/>
    </row>
    <row r="559" spans="1:17" s="7" customFormat="1" ht="66" customHeight="1" x14ac:dyDescent="0.25">
      <c r="A559" s="8"/>
      <c r="B559" s="18" t="s">
        <v>183</v>
      </c>
      <c r="C559" s="19" t="str">
        <f>VLOOKUP($B559,[1]ORÇ_ANALITICO!$A$10:$K$137,2,0)</f>
        <v>14.004.0015-0</v>
      </c>
      <c r="D559" s="157" t="str">
        <f>VLOOKUP($C559,[1]ORÇ_ANALITICO!$B$10:$L$137,4,0)</f>
        <v>VIDRO PLANO TRANSPARENTE,COMUM,DE 4MM DE ESPESSURA.FORNECIMENTO E COLOCACAO</v>
      </c>
      <c r="E559" s="157" t="e">
        <f>VLOOKUP(D559,[1]ORÇ_ANALITICO!C423:M522,2,0)</f>
        <v>#N/A</v>
      </c>
      <c r="F559" s="157" t="e">
        <f>VLOOKUP(E559,[1]ORÇ_ANALITICO!E423:N522,2,0)</f>
        <v>#N/A</v>
      </c>
      <c r="G559" s="157" t="e">
        <f>VLOOKUP(F559,[1]ORÇ_ANALITICO!F423:O522,2,0)</f>
        <v>#N/A</v>
      </c>
      <c r="H559" s="157" t="e">
        <f>VLOOKUP(G559,[1]ORÇ_ANALITICO!G423:P522,2,0)</f>
        <v>#N/A</v>
      </c>
      <c r="I559" s="157" t="e">
        <f>VLOOKUP(H559,[1]ORÇ_ANALITICO!H423:Q522,2,0)</f>
        <v>#N/A</v>
      </c>
      <c r="J559" s="157" t="e">
        <f>VLOOKUP(I559,[1]ORÇ_ANALITICO!I423:R522,2,0)</f>
        <v>#N/A</v>
      </c>
      <c r="K559" s="157" t="e">
        <f>VLOOKUP(J559,[1]ORÇ_ANALITICO!J423:S522,2,0)</f>
        <v>#N/A</v>
      </c>
      <c r="L559" s="157" t="e">
        <f>VLOOKUP(K559,[1]ORÇ_ANALITICO!K423:T522,2,0)</f>
        <v>#N/A</v>
      </c>
      <c r="M559" s="157" t="e">
        <f>VLOOKUP(L559,[1]ORÇ_ANALITICO!L423:U522,2,0)</f>
        <v>#N/A</v>
      </c>
      <c r="N559" s="157" t="e">
        <f>VLOOKUP(M559,[1]ORÇ_ANALITICO!M423:V522,2,0)</f>
        <v>#N/A</v>
      </c>
      <c r="O559" s="20" t="str">
        <f>VLOOKUP($C559,[1]ORÇ_ANALITICO!$B$10:$L$137,5,0)</f>
        <v>M2</v>
      </c>
      <c r="P559" s="20">
        <f>K618</f>
        <v>177.82923648924407</v>
      </c>
      <c r="Q559" s="6"/>
    </row>
    <row r="560" spans="1:17" s="7" customFormat="1" ht="66" customHeight="1" x14ac:dyDescent="0.25">
      <c r="A560" s="8"/>
      <c r="B560" s="9"/>
      <c r="C560" s="52"/>
      <c r="D560" s="27"/>
      <c r="E560" s="26"/>
      <c r="F560" s="26"/>
      <c r="L560" s="10"/>
      <c r="P560" s="11"/>
      <c r="Q560" s="6"/>
    </row>
    <row r="561" spans="1:17" s="7" customFormat="1" ht="66" customHeight="1" x14ac:dyDescent="0.25">
      <c r="A561" s="8"/>
      <c r="B561" s="9"/>
      <c r="C561" s="22"/>
      <c r="D561" s="24"/>
      <c r="E561" s="48" t="s">
        <v>22</v>
      </c>
      <c r="F561" s="48"/>
      <c r="G561" s="56" t="s">
        <v>23</v>
      </c>
      <c r="H561" s="56"/>
      <c r="I561" s="56" t="s">
        <v>75</v>
      </c>
      <c r="J561" s="56"/>
      <c r="L561" s="10"/>
      <c r="P561" s="11"/>
      <c r="Q561" s="6"/>
    </row>
    <row r="562" spans="1:17" s="7" customFormat="1" ht="66" customHeight="1" x14ac:dyDescent="0.25">
      <c r="A562" s="8"/>
      <c r="B562" s="9"/>
      <c r="C562" s="22"/>
      <c r="D562" s="24"/>
      <c r="E562" s="48"/>
      <c r="F562" s="48"/>
      <c r="G562" s="56"/>
      <c r="H562" s="56"/>
      <c r="I562" s="56"/>
      <c r="J562" s="56"/>
      <c r="L562" s="10"/>
      <c r="P562" s="11"/>
      <c r="Q562" s="6"/>
    </row>
    <row r="563" spans="1:17" s="7" customFormat="1" ht="66" customHeight="1" x14ac:dyDescent="0.25">
      <c r="A563" s="8"/>
      <c r="B563" s="9"/>
      <c r="C563" s="22" t="s">
        <v>76</v>
      </c>
      <c r="D563" s="24" t="s">
        <v>12</v>
      </c>
      <c r="E563" s="48">
        <v>1.4</v>
      </c>
      <c r="F563" s="48" t="s">
        <v>24</v>
      </c>
      <c r="G563" s="56">
        <v>2.8</v>
      </c>
      <c r="H563" s="56" t="s">
        <v>24</v>
      </c>
      <c r="I563" s="56">
        <v>2</v>
      </c>
      <c r="J563" s="56" t="s">
        <v>12</v>
      </c>
      <c r="K563" s="25">
        <f>E563*G563*I563</f>
        <v>7.839999999999999</v>
      </c>
      <c r="L563" s="32" t="s">
        <v>25</v>
      </c>
      <c r="P563" s="11"/>
      <c r="Q563" s="6"/>
    </row>
    <row r="564" spans="1:17" s="7" customFormat="1" ht="66" customHeight="1" x14ac:dyDescent="0.25">
      <c r="A564" s="8"/>
      <c r="B564" s="9"/>
      <c r="C564" s="22" t="s">
        <v>184</v>
      </c>
      <c r="D564" s="24" t="s">
        <v>12</v>
      </c>
      <c r="E564" s="48">
        <v>1.1499999999999999</v>
      </c>
      <c r="F564" s="48" t="s">
        <v>24</v>
      </c>
      <c r="G564" s="56">
        <v>0.7</v>
      </c>
      <c r="H564" s="56" t="s">
        <v>24</v>
      </c>
      <c r="I564" s="56">
        <v>1</v>
      </c>
      <c r="J564" s="56" t="s">
        <v>12</v>
      </c>
      <c r="K564" s="25">
        <f>E564*G564*I564</f>
        <v>0.80499999999999994</v>
      </c>
      <c r="L564" s="32" t="s">
        <v>25</v>
      </c>
      <c r="P564" s="11"/>
      <c r="Q564" s="6"/>
    </row>
    <row r="565" spans="1:17" s="7" customFormat="1" ht="66" customHeight="1" x14ac:dyDescent="0.25">
      <c r="A565" s="8"/>
      <c r="B565" s="9"/>
      <c r="C565" s="22" t="s">
        <v>78</v>
      </c>
      <c r="D565" s="24" t="s">
        <v>12</v>
      </c>
      <c r="E565" s="48">
        <v>1.4</v>
      </c>
      <c r="F565" s="48" t="s">
        <v>24</v>
      </c>
      <c r="G565" s="56">
        <v>2.8</v>
      </c>
      <c r="H565" s="56" t="s">
        <v>24</v>
      </c>
      <c r="I565" s="56">
        <v>2</v>
      </c>
      <c r="J565" s="56" t="s">
        <v>12</v>
      </c>
      <c r="K565" s="25">
        <f t="shared" ref="K565:K582" si="13">E565*G565*I565</f>
        <v>7.839999999999999</v>
      </c>
      <c r="L565" s="32" t="s">
        <v>25</v>
      </c>
      <c r="P565" s="11"/>
      <c r="Q565" s="6"/>
    </row>
    <row r="566" spans="1:17" s="7" customFormat="1" ht="66" customHeight="1" x14ac:dyDescent="0.25">
      <c r="A566" s="8"/>
      <c r="B566" s="9"/>
      <c r="C566" s="22" t="s">
        <v>185</v>
      </c>
      <c r="D566" s="24" t="s">
        <v>12</v>
      </c>
      <c r="E566" s="48">
        <v>1.2</v>
      </c>
      <c r="F566" s="48" t="s">
        <v>24</v>
      </c>
      <c r="G566" s="56">
        <v>0.7</v>
      </c>
      <c r="H566" s="56" t="s">
        <v>24</v>
      </c>
      <c r="I566" s="56">
        <v>1</v>
      </c>
      <c r="J566" s="56" t="s">
        <v>12</v>
      </c>
      <c r="K566" s="25">
        <f t="shared" si="13"/>
        <v>0.84</v>
      </c>
      <c r="L566" s="32" t="s">
        <v>25</v>
      </c>
      <c r="P566" s="11"/>
      <c r="Q566" s="6"/>
    </row>
    <row r="567" spans="1:17" s="7" customFormat="1" ht="66" customHeight="1" x14ac:dyDescent="0.25">
      <c r="A567" s="8"/>
      <c r="B567" s="9"/>
      <c r="C567" s="22" t="s">
        <v>79</v>
      </c>
      <c r="D567" s="24" t="s">
        <v>12</v>
      </c>
      <c r="E567" s="48">
        <v>1.4</v>
      </c>
      <c r="F567" s="48" t="s">
        <v>24</v>
      </c>
      <c r="G567" s="56">
        <v>2.8</v>
      </c>
      <c r="H567" s="56" t="s">
        <v>24</v>
      </c>
      <c r="I567" s="56">
        <v>2</v>
      </c>
      <c r="J567" s="56" t="s">
        <v>12</v>
      </c>
      <c r="K567" s="25">
        <f t="shared" si="13"/>
        <v>7.839999999999999</v>
      </c>
      <c r="L567" s="32" t="s">
        <v>25</v>
      </c>
      <c r="P567" s="11"/>
      <c r="Q567" s="6"/>
    </row>
    <row r="568" spans="1:17" s="7" customFormat="1" ht="66" customHeight="1" x14ac:dyDescent="0.25">
      <c r="A568" s="8"/>
      <c r="B568" s="9"/>
      <c r="C568" s="22" t="s">
        <v>186</v>
      </c>
      <c r="D568" s="24" t="s">
        <v>12</v>
      </c>
      <c r="E568" s="48">
        <v>1.1499999999999999</v>
      </c>
      <c r="F568" s="48" t="s">
        <v>24</v>
      </c>
      <c r="G568" s="56">
        <v>0.7</v>
      </c>
      <c r="H568" s="56" t="s">
        <v>24</v>
      </c>
      <c r="I568" s="56">
        <v>1</v>
      </c>
      <c r="J568" s="56" t="s">
        <v>12</v>
      </c>
      <c r="K568" s="25">
        <f t="shared" si="13"/>
        <v>0.80499999999999994</v>
      </c>
      <c r="L568" s="32" t="s">
        <v>25</v>
      </c>
      <c r="P568" s="11"/>
      <c r="Q568" s="6"/>
    </row>
    <row r="569" spans="1:17" s="7" customFormat="1" ht="66" customHeight="1" x14ac:dyDescent="0.25">
      <c r="A569" s="8"/>
      <c r="B569" s="9"/>
      <c r="C569" s="22" t="s">
        <v>80</v>
      </c>
      <c r="D569" s="24" t="s">
        <v>12</v>
      </c>
      <c r="E569" s="48">
        <v>1.4</v>
      </c>
      <c r="F569" s="48" t="s">
        <v>24</v>
      </c>
      <c r="G569" s="56">
        <v>2.4</v>
      </c>
      <c r="H569" s="56" t="s">
        <v>24</v>
      </c>
      <c r="I569" s="56">
        <v>2</v>
      </c>
      <c r="J569" s="56" t="s">
        <v>12</v>
      </c>
      <c r="K569" s="25">
        <f t="shared" si="13"/>
        <v>6.72</v>
      </c>
      <c r="L569" s="32" t="s">
        <v>25</v>
      </c>
      <c r="P569" s="11"/>
      <c r="Q569" s="6"/>
    </row>
    <row r="570" spans="1:17" s="7" customFormat="1" ht="66" customHeight="1" x14ac:dyDescent="0.25">
      <c r="A570" s="8"/>
      <c r="B570" s="9"/>
      <c r="C570" s="22" t="s">
        <v>175</v>
      </c>
      <c r="D570" s="24" t="s">
        <v>12</v>
      </c>
      <c r="E570" s="48">
        <v>1.1499999999999999</v>
      </c>
      <c r="F570" s="48" t="s">
        <v>24</v>
      </c>
      <c r="G570" s="56">
        <v>0.7</v>
      </c>
      <c r="H570" s="56" t="s">
        <v>24</v>
      </c>
      <c r="I570" s="56">
        <v>1</v>
      </c>
      <c r="J570" s="56" t="s">
        <v>12</v>
      </c>
      <c r="K570" s="25">
        <f t="shared" si="13"/>
        <v>0.80499999999999994</v>
      </c>
      <c r="L570" s="32" t="s">
        <v>25</v>
      </c>
      <c r="P570" s="11"/>
      <c r="Q570" s="6"/>
    </row>
    <row r="571" spans="1:17" s="7" customFormat="1" ht="66" customHeight="1" x14ac:dyDescent="0.25">
      <c r="A571" s="8"/>
      <c r="B571" s="9"/>
      <c r="C571" s="22" t="s">
        <v>81</v>
      </c>
      <c r="D571" s="24" t="s">
        <v>12</v>
      </c>
      <c r="E571" s="48">
        <v>1.4</v>
      </c>
      <c r="F571" s="48" t="s">
        <v>24</v>
      </c>
      <c r="G571" s="56">
        <v>2.8</v>
      </c>
      <c r="H571" s="56" t="s">
        <v>24</v>
      </c>
      <c r="I571" s="56">
        <v>1</v>
      </c>
      <c r="J571" s="56" t="s">
        <v>12</v>
      </c>
      <c r="K571" s="25">
        <f t="shared" si="13"/>
        <v>3.9199999999999995</v>
      </c>
      <c r="L571" s="32" t="s">
        <v>25</v>
      </c>
      <c r="P571" s="11"/>
      <c r="Q571" s="6"/>
    </row>
    <row r="572" spans="1:17" s="7" customFormat="1" ht="66" customHeight="1" x14ac:dyDescent="0.25">
      <c r="A572" s="8"/>
      <c r="B572" s="9"/>
      <c r="C572" s="22" t="s">
        <v>82</v>
      </c>
      <c r="D572" s="24" t="s">
        <v>12</v>
      </c>
      <c r="E572" s="48">
        <v>1.4</v>
      </c>
      <c r="F572" s="48" t="s">
        <v>24</v>
      </c>
      <c r="G572" s="56">
        <v>2.4</v>
      </c>
      <c r="H572" s="56" t="s">
        <v>24</v>
      </c>
      <c r="I572" s="56">
        <v>2</v>
      </c>
      <c r="J572" s="56" t="s">
        <v>12</v>
      </c>
      <c r="K572" s="25">
        <f t="shared" si="13"/>
        <v>6.72</v>
      </c>
      <c r="L572" s="32" t="s">
        <v>25</v>
      </c>
      <c r="P572" s="11"/>
      <c r="Q572" s="6"/>
    </row>
    <row r="573" spans="1:17" s="7" customFormat="1" ht="66" customHeight="1" x14ac:dyDescent="0.25">
      <c r="A573" s="8"/>
      <c r="B573" s="9"/>
      <c r="C573" s="22" t="s">
        <v>187</v>
      </c>
      <c r="D573" s="24" t="s">
        <v>12</v>
      </c>
      <c r="E573" s="48">
        <v>1.1499999999999999</v>
      </c>
      <c r="F573" s="48" t="s">
        <v>24</v>
      </c>
      <c r="G573" s="56">
        <v>0.7</v>
      </c>
      <c r="H573" s="56" t="s">
        <v>24</v>
      </c>
      <c r="I573" s="56">
        <v>1</v>
      </c>
      <c r="J573" s="56" t="s">
        <v>12</v>
      </c>
      <c r="K573" s="25">
        <f t="shared" si="13"/>
        <v>0.80499999999999994</v>
      </c>
      <c r="L573" s="32" t="s">
        <v>25</v>
      </c>
      <c r="P573" s="11"/>
      <c r="Q573" s="6"/>
    </row>
    <row r="574" spans="1:17" s="7" customFormat="1" ht="66" customHeight="1" x14ac:dyDescent="0.25">
      <c r="A574" s="8"/>
      <c r="B574" s="9"/>
      <c r="C574" s="22" t="s">
        <v>83</v>
      </c>
      <c r="D574" s="24" t="s">
        <v>12</v>
      </c>
      <c r="E574" s="48">
        <v>1.4</v>
      </c>
      <c r="F574" s="48" t="s">
        <v>24</v>
      </c>
      <c r="G574" s="56">
        <v>2.8</v>
      </c>
      <c r="H574" s="56" t="s">
        <v>24</v>
      </c>
      <c r="I574" s="56">
        <v>1</v>
      </c>
      <c r="J574" s="56" t="s">
        <v>12</v>
      </c>
      <c r="K574" s="25">
        <f t="shared" si="13"/>
        <v>3.9199999999999995</v>
      </c>
      <c r="L574" s="32" t="s">
        <v>25</v>
      </c>
      <c r="P574" s="11"/>
      <c r="Q574" s="6"/>
    </row>
    <row r="575" spans="1:17" s="7" customFormat="1" ht="66" customHeight="1" x14ac:dyDescent="0.25">
      <c r="A575" s="8"/>
      <c r="B575" s="9"/>
      <c r="C575" s="22" t="s">
        <v>188</v>
      </c>
      <c r="D575" s="24" t="s">
        <v>12</v>
      </c>
      <c r="E575" s="48">
        <v>1.2</v>
      </c>
      <c r="F575" s="48" t="s">
        <v>24</v>
      </c>
      <c r="G575" s="56">
        <v>0.7</v>
      </c>
      <c r="H575" s="56" t="s">
        <v>24</v>
      </c>
      <c r="I575" s="56">
        <v>1</v>
      </c>
      <c r="J575" s="56" t="s">
        <v>12</v>
      </c>
      <c r="K575" s="25">
        <f t="shared" si="13"/>
        <v>0.84</v>
      </c>
      <c r="L575" s="32" t="s">
        <v>25</v>
      </c>
      <c r="P575" s="11"/>
      <c r="Q575" s="6"/>
    </row>
    <row r="576" spans="1:17" s="7" customFormat="1" ht="66" customHeight="1" x14ac:dyDescent="0.25">
      <c r="A576" s="8"/>
      <c r="B576" s="9"/>
      <c r="C576" s="22" t="s">
        <v>84</v>
      </c>
      <c r="D576" s="24" t="s">
        <v>12</v>
      </c>
      <c r="E576" s="48">
        <v>1.4</v>
      </c>
      <c r="F576" s="48" t="s">
        <v>24</v>
      </c>
      <c r="G576" s="56">
        <v>2.8</v>
      </c>
      <c r="H576" s="56" t="s">
        <v>24</v>
      </c>
      <c r="I576" s="56">
        <v>2</v>
      </c>
      <c r="J576" s="56" t="s">
        <v>12</v>
      </c>
      <c r="K576" s="25">
        <f t="shared" si="13"/>
        <v>7.839999999999999</v>
      </c>
      <c r="L576" s="32" t="s">
        <v>25</v>
      </c>
      <c r="P576" s="11"/>
      <c r="Q576" s="6"/>
    </row>
    <row r="577" spans="1:17" s="7" customFormat="1" ht="66" customHeight="1" x14ac:dyDescent="0.25">
      <c r="A577" s="8"/>
      <c r="B577" s="9"/>
      <c r="C577" s="22" t="s">
        <v>189</v>
      </c>
      <c r="D577" s="24" t="s">
        <v>12</v>
      </c>
      <c r="E577" s="48">
        <v>1.2</v>
      </c>
      <c r="F577" s="48" t="s">
        <v>24</v>
      </c>
      <c r="G577" s="56">
        <v>0.7</v>
      </c>
      <c r="H577" s="56" t="s">
        <v>24</v>
      </c>
      <c r="I577" s="56">
        <v>1</v>
      </c>
      <c r="J577" s="56" t="s">
        <v>12</v>
      </c>
      <c r="K577" s="25">
        <f t="shared" si="13"/>
        <v>0.84</v>
      </c>
      <c r="L577" s="32" t="s">
        <v>25</v>
      </c>
      <c r="P577" s="11"/>
      <c r="Q577" s="6"/>
    </row>
    <row r="578" spans="1:17" s="7" customFormat="1" ht="66" customHeight="1" x14ac:dyDescent="0.25">
      <c r="A578" s="8"/>
      <c r="B578" s="9"/>
      <c r="C578" s="22" t="s">
        <v>85</v>
      </c>
      <c r="D578" s="24" t="s">
        <v>12</v>
      </c>
      <c r="E578" s="48">
        <v>1.4</v>
      </c>
      <c r="F578" s="48" t="s">
        <v>24</v>
      </c>
      <c r="G578" s="56">
        <v>2.8</v>
      </c>
      <c r="H578" s="56" t="s">
        <v>24</v>
      </c>
      <c r="I578" s="56">
        <v>1</v>
      </c>
      <c r="J578" s="56" t="s">
        <v>12</v>
      </c>
      <c r="K578" s="25">
        <f t="shared" si="13"/>
        <v>3.9199999999999995</v>
      </c>
      <c r="L578" s="32" t="s">
        <v>25</v>
      </c>
      <c r="P578" s="11"/>
      <c r="Q578" s="6"/>
    </row>
    <row r="579" spans="1:17" s="7" customFormat="1" ht="66" customHeight="1" x14ac:dyDescent="0.25">
      <c r="A579" s="8"/>
      <c r="B579" s="9"/>
      <c r="C579" s="22" t="s">
        <v>190</v>
      </c>
      <c r="D579" s="24" t="s">
        <v>12</v>
      </c>
      <c r="E579" s="48">
        <v>1.2</v>
      </c>
      <c r="F579" s="48" t="s">
        <v>24</v>
      </c>
      <c r="G579" s="56">
        <v>0.7</v>
      </c>
      <c r="H579" s="56" t="s">
        <v>24</v>
      </c>
      <c r="I579" s="56">
        <v>1</v>
      </c>
      <c r="J579" s="56" t="s">
        <v>12</v>
      </c>
      <c r="K579" s="25">
        <f t="shared" si="13"/>
        <v>0.84</v>
      </c>
      <c r="L579" s="32" t="s">
        <v>25</v>
      </c>
      <c r="P579" s="11"/>
      <c r="Q579" s="6"/>
    </row>
    <row r="580" spans="1:17" s="7" customFormat="1" ht="66" customHeight="1" x14ac:dyDescent="0.25">
      <c r="A580" s="8"/>
      <c r="B580" s="9"/>
      <c r="C580" s="22" t="s">
        <v>86</v>
      </c>
      <c r="D580" s="24" t="s">
        <v>12</v>
      </c>
      <c r="E580" s="48">
        <v>1.4</v>
      </c>
      <c r="F580" s="48" t="s">
        <v>24</v>
      </c>
      <c r="G580" s="56">
        <v>2.8</v>
      </c>
      <c r="H580" s="56" t="s">
        <v>24</v>
      </c>
      <c r="I580" s="56">
        <v>4</v>
      </c>
      <c r="J580" s="56" t="s">
        <v>12</v>
      </c>
      <c r="K580" s="25">
        <f t="shared" si="13"/>
        <v>15.679999999999998</v>
      </c>
      <c r="L580" s="32" t="s">
        <v>25</v>
      </c>
      <c r="P580" s="11"/>
      <c r="Q580" s="6"/>
    </row>
    <row r="581" spans="1:17" s="7" customFormat="1" ht="66" customHeight="1" x14ac:dyDescent="0.25">
      <c r="A581" s="8"/>
      <c r="B581" s="9"/>
      <c r="C581" s="22" t="s">
        <v>191</v>
      </c>
      <c r="D581" s="24" t="s">
        <v>12</v>
      </c>
      <c r="E581" s="48">
        <v>1.2</v>
      </c>
      <c r="F581" s="48" t="s">
        <v>24</v>
      </c>
      <c r="G581" s="56">
        <v>0.7</v>
      </c>
      <c r="H581" s="56" t="s">
        <v>24</v>
      </c>
      <c r="I581" s="56">
        <v>1</v>
      </c>
      <c r="J581" s="56" t="s">
        <v>12</v>
      </c>
      <c r="K581" s="25">
        <f t="shared" si="13"/>
        <v>0.84</v>
      </c>
      <c r="L581" s="32" t="s">
        <v>25</v>
      </c>
      <c r="P581" s="11"/>
      <c r="Q581" s="6"/>
    </row>
    <row r="582" spans="1:17" s="7" customFormat="1" ht="66" customHeight="1" x14ac:dyDescent="0.25">
      <c r="A582" s="8"/>
      <c r="B582" s="9"/>
      <c r="C582" s="22" t="s">
        <v>87</v>
      </c>
      <c r="D582" s="24" t="s">
        <v>12</v>
      </c>
      <c r="E582" s="48">
        <v>1.4</v>
      </c>
      <c r="F582" s="48" t="s">
        <v>24</v>
      </c>
      <c r="G582" s="56">
        <v>2.8</v>
      </c>
      <c r="H582" s="56" t="s">
        <v>24</v>
      </c>
      <c r="I582" s="56">
        <v>1</v>
      </c>
      <c r="J582" s="56" t="s">
        <v>12</v>
      </c>
      <c r="K582" s="25">
        <f t="shared" si="13"/>
        <v>3.9199999999999995</v>
      </c>
      <c r="L582" s="32" t="s">
        <v>25</v>
      </c>
      <c r="P582" s="11"/>
      <c r="Q582" s="6"/>
    </row>
    <row r="583" spans="1:17" s="7" customFormat="1" ht="66" customHeight="1" x14ac:dyDescent="0.25">
      <c r="A583" s="8"/>
      <c r="B583" s="9"/>
      <c r="C583" s="22" t="s">
        <v>115</v>
      </c>
      <c r="D583" s="24" t="s">
        <v>12</v>
      </c>
      <c r="E583" s="48">
        <v>1.2</v>
      </c>
      <c r="F583" s="48" t="s">
        <v>24</v>
      </c>
      <c r="G583" s="56">
        <v>0.7</v>
      </c>
      <c r="H583" s="56" t="s">
        <v>24</v>
      </c>
      <c r="I583" s="56">
        <v>1</v>
      </c>
      <c r="J583" s="56" t="s">
        <v>12</v>
      </c>
      <c r="K583" s="25">
        <f>E583*G583*I583</f>
        <v>0.84</v>
      </c>
      <c r="L583" s="32" t="s">
        <v>25</v>
      </c>
      <c r="P583" s="11"/>
      <c r="Q583" s="6"/>
    </row>
    <row r="584" spans="1:17" s="7" customFormat="1" ht="66" customHeight="1" x14ac:dyDescent="0.25">
      <c r="A584" s="8"/>
      <c r="B584" s="9"/>
      <c r="C584" s="22" t="s">
        <v>113</v>
      </c>
      <c r="D584" s="24" t="s">
        <v>12</v>
      </c>
      <c r="E584" s="48">
        <v>1.2</v>
      </c>
      <c r="F584" s="48" t="s">
        <v>24</v>
      </c>
      <c r="G584" s="56">
        <v>0.7</v>
      </c>
      <c r="H584" s="56" t="s">
        <v>24</v>
      </c>
      <c r="I584" s="56">
        <v>1</v>
      </c>
      <c r="J584" s="56" t="s">
        <v>12</v>
      </c>
      <c r="K584" s="25">
        <f t="shared" ref="K584:K589" si="14">E584*G584*I584</f>
        <v>0.84</v>
      </c>
      <c r="L584" s="32" t="s">
        <v>25</v>
      </c>
      <c r="P584" s="11"/>
      <c r="Q584" s="6"/>
    </row>
    <row r="585" spans="1:17" s="7" customFormat="1" ht="66" customHeight="1" x14ac:dyDescent="0.25">
      <c r="A585" s="8"/>
      <c r="B585" s="9"/>
      <c r="C585" s="22" t="s">
        <v>114</v>
      </c>
      <c r="D585" s="24" t="s">
        <v>12</v>
      </c>
      <c r="E585" s="48">
        <v>1.2</v>
      </c>
      <c r="F585" s="48" t="s">
        <v>24</v>
      </c>
      <c r="G585" s="56">
        <v>0.7</v>
      </c>
      <c r="H585" s="56" t="s">
        <v>24</v>
      </c>
      <c r="I585" s="56">
        <v>1</v>
      </c>
      <c r="J585" s="56" t="s">
        <v>12</v>
      </c>
      <c r="K585" s="25">
        <f t="shared" si="14"/>
        <v>0.84</v>
      </c>
      <c r="L585" s="32" t="s">
        <v>25</v>
      </c>
      <c r="P585" s="11"/>
      <c r="Q585" s="6"/>
    </row>
    <row r="586" spans="1:17" s="7" customFormat="1" ht="66" customHeight="1" x14ac:dyDescent="0.25">
      <c r="A586" s="8"/>
      <c r="B586" s="9"/>
      <c r="C586" s="22" t="s">
        <v>88</v>
      </c>
      <c r="D586" s="24" t="s">
        <v>12</v>
      </c>
      <c r="E586" s="48">
        <v>1.4</v>
      </c>
      <c r="F586" s="48" t="s">
        <v>24</v>
      </c>
      <c r="G586" s="56">
        <v>2.4</v>
      </c>
      <c r="H586" s="56" t="s">
        <v>24</v>
      </c>
      <c r="I586" s="56">
        <v>1</v>
      </c>
      <c r="J586" s="56" t="s">
        <v>12</v>
      </c>
      <c r="K586" s="25">
        <f t="shared" si="14"/>
        <v>3.36</v>
      </c>
      <c r="L586" s="32" t="s">
        <v>25</v>
      </c>
      <c r="P586" s="11"/>
      <c r="Q586" s="6"/>
    </row>
    <row r="587" spans="1:17" s="7" customFormat="1" ht="66" customHeight="1" x14ac:dyDescent="0.25">
      <c r="A587" s="8"/>
      <c r="B587" s="9"/>
      <c r="C587" s="22" t="s">
        <v>192</v>
      </c>
      <c r="D587" s="24" t="s">
        <v>12</v>
      </c>
      <c r="E587" s="48">
        <v>1.2</v>
      </c>
      <c r="F587" s="48" t="s">
        <v>24</v>
      </c>
      <c r="G587" s="56">
        <v>0.7</v>
      </c>
      <c r="H587" s="56" t="s">
        <v>24</v>
      </c>
      <c r="I587" s="56">
        <v>1</v>
      </c>
      <c r="J587" s="56" t="s">
        <v>12</v>
      </c>
      <c r="K587" s="25">
        <f t="shared" si="14"/>
        <v>0.84</v>
      </c>
      <c r="L587" s="32" t="s">
        <v>25</v>
      </c>
      <c r="P587" s="11"/>
      <c r="Q587" s="6"/>
    </row>
    <row r="588" spans="1:17" s="7" customFormat="1" ht="66" customHeight="1" x14ac:dyDescent="0.25">
      <c r="A588" s="8"/>
      <c r="B588" s="9"/>
      <c r="C588" s="22" t="s">
        <v>89</v>
      </c>
      <c r="D588" s="24" t="s">
        <v>12</v>
      </c>
      <c r="E588" s="48">
        <v>1.4</v>
      </c>
      <c r="F588" s="48" t="s">
        <v>24</v>
      </c>
      <c r="G588" s="56">
        <v>2.4</v>
      </c>
      <c r="H588" s="56" t="s">
        <v>24</v>
      </c>
      <c r="I588" s="56">
        <v>1</v>
      </c>
      <c r="J588" s="56" t="s">
        <v>12</v>
      </c>
      <c r="K588" s="25">
        <f t="shared" si="14"/>
        <v>3.36</v>
      </c>
      <c r="L588" s="32" t="s">
        <v>25</v>
      </c>
      <c r="P588" s="11"/>
      <c r="Q588" s="6"/>
    </row>
    <row r="589" spans="1:17" s="7" customFormat="1" ht="66" customHeight="1" x14ac:dyDescent="0.25">
      <c r="A589" s="8"/>
      <c r="B589" s="9"/>
      <c r="C589" s="22" t="s">
        <v>90</v>
      </c>
      <c r="D589" s="24" t="s">
        <v>12</v>
      </c>
      <c r="E589" s="48">
        <v>1.4</v>
      </c>
      <c r="F589" s="48" t="s">
        <v>24</v>
      </c>
      <c r="G589" s="56">
        <v>2.4</v>
      </c>
      <c r="H589" s="56" t="s">
        <v>24</v>
      </c>
      <c r="I589" s="56">
        <v>2</v>
      </c>
      <c r="J589" s="56" t="s">
        <v>12</v>
      </c>
      <c r="K589" s="25">
        <f t="shared" si="14"/>
        <v>6.72</v>
      </c>
      <c r="L589" s="32" t="s">
        <v>25</v>
      </c>
      <c r="P589" s="11"/>
      <c r="Q589" s="6"/>
    </row>
    <row r="590" spans="1:17" s="7" customFormat="1" ht="66" customHeight="1" x14ac:dyDescent="0.25">
      <c r="A590" s="8"/>
      <c r="B590" s="9"/>
      <c r="C590" s="22" t="s">
        <v>91</v>
      </c>
      <c r="D590" s="24" t="s">
        <v>12</v>
      </c>
      <c r="E590" s="48">
        <v>1.4</v>
      </c>
      <c r="F590" s="48" t="s">
        <v>24</v>
      </c>
      <c r="G590" s="56">
        <v>2.4</v>
      </c>
      <c r="H590" s="56" t="s">
        <v>24</v>
      </c>
      <c r="I590" s="56">
        <v>2</v>
      </c>
      <c r="J590" s="56" t="s">
        <v>12</v>
      </c>
      <c r="K590" s="25">
        <f>E590*G590*I590</f>
        <v>6.72</v>
      </c>
      <c r="L590" s="32" t="s">
        <v>25</v>
      </c>
      <c r="P590" s="11"/>
      <c r="Q590" s="6"/>
    </row>
    <row r="591" spans="1:17" s="7" customFormat="1" ht="66" customHeight="1" x14ac:dyDescent="0.25">
      <c r="A591" s="8"/>
      <c r="B591" s="9"/>
      <c r="C591" s="22" t="s">
        <v>193</v>
      </c>
      <c r="D591" s="24" t="s">
        <v>12</v>
      </c>
      <c r="E591" s="48">
        <v>1.2</v>
      </c>
      <c r="F591" s="48" t="s">
        <v>24</v>
      </c>
      <c r="G591" s="56">
        <v>0.7</v>
      </c>
      <c r="H591" s="56" t="s">
        <v>24</v>
      </c>
      <c r="I591" s="56">
        <v>1</v>
      </c>
      <c r="J591" s="56" t="s">
        <v>12</v>
      </c>
      <c r="K591" s="25">
        <f>E591*G591*I591</f>
        <v>0.84</v>
      </c>
      <c r="L591" s="32" t="s">
        <v>25</v>
      </c>
      <c r="P591" s="11"/>
      <c r="Q591" s="6"/>
    </row>
    <row r="592" spans="1:17" s="7" customFormat="1" ht="66" customHeight="1" x14ac:dyDescent="0.25">
      <c r="A592" s="8"/>
      <c r="B592" s="9"/>
      <c r="C592" s="22" t="s">
        <v>182</v>
      </c>
      <c r="D592" s="24" t="s">
        <v>12</v>
      </c>
      <c r="E592" s="48">
        <v>0.45</v>
      </c>
      <c r="F592" s="48" t="s">
        <v>24</v>
      </c>
      <c r="G592" s="56">
        <v>1.4</v>
      </c>
      <c r="H592" s="56" t="s">
        <v>24</v>
      </c>
      <c r="I592" s="56">
        <v>4</v>
      </c>
      <c r="J592" s="56" t="s">
        <v>12</v>
      </c>
      <c r="K592" s="48">
        <f>E592*G592*I592</f>
        <v>2.52</v>
      </c>
      <c r="L592" s="24" t="s">
        <v>25</v>
      </c>
      <c r="P592" s="11"/>
      <c r="Q592" s="6"/>
    </row>
    <row r="593" spans="1:17" s="7" customFormat="1" ht="66" customHeight="1" x14ac:dyDescent="0.25">
      <c r="A593" s="8"/>
      <c r="B593" s="9"/>
      <c r="C593" s="22" t="s">
        <v>194</v>
      </c>
      <c r="D593" s="24" t="s">
        <v>12</v>
      </c>
      <c r="E593" s="48">
        <v>1.2</v>
      </c>
      <c r="F593" s="48" t="s">
        <v>24</v>
      </c>
      <c r="G593" s="56">
        <v>0.65</v>
      </c>
      <c r="H593" s="56" t="s">
        <v>24</v>
      </c>
      <c r="I593" s="56">
        <v>1</v>
      </c>
      <c r="J593" s="56" t="s">
        <v>12</v>
      </c>
      <c r="K593" s="25">
        <f>E593*G593*I593</f>
        <v>0.78</v>
      </c>
      <c r="L593" s="32" t="s">
        <v>25</v>
      </c>
      <c r="P593" s="11"/>
      <c r="Q593" s="6"/>
    </row>
    <row r="594" spans="1:17" s="7" customFormat="1" ht="66" customHeight="1" x14ac:dyDescent="0.25">
      <c r="A594" s="8"/>
      <c r="B594" s="9"/>
      <c r="C594" s="22" t="s">
        <v>92</v>
      </c>
      <c r="D594" s="24" t="s">
        <v>12</v>
      </c>
      <c r="E594" s="48">
        <v>1.4</v>
      </c>
      <c r="F594" s="48" t="s">
        <v>24</v>
      </c>
      <c r="G594" s="56">
        <v>2.4</v>
      </c>
      <c r="H594" s="56" t="s">
        <v>24</v>
      </c>
      <c r="I594" s="56">
        <v>1</v>
      </c>
      <c r="J594" s="56" t="s">
        <v>12</v>
      </c>
      <c r="K594" s="25">
        <f t="shared" ref="K594:K610" si="15">E594*G594*I594</f>
        <v>3.36</v>
      </c>
      <c r="L594" s="32" t="s">
        <v>25</v>
      </c>
      <c r="P594" s="11"/>
      <c r="Q594" s="6"/>
    </row>
    <row r="595" spans="1:17" s="7" customFormat="1" ht="66" customHeight="1" x14ac:dyDescent="0.25">
      <c r="A595" s="8"/>
      <c r="B595" s="9"/>
      <c r="C595" s="22" t="s">
        <v>93</v>
      </c>
      <c r="D595" s="24" t="s">
        <v>12</v>
      </c>
      <c r="E595" s="48">
        <v>1.4</v>
      </c>
      <c r="F595" s="48" t="s">
        <v>24</v>
      </c>
      <c r="G595" s="56">
        <v>2.4</v>
      </c>
      <c r="H595" s="56" t="s">
        <v>24</v>
      </c>
      <c r="I595" s="56">
        <v>1</v>
      </c>
      <c r="J595" s="56" t="s">
        <v>12</v>
      </c>
      <c r="K595" s="25">
        <f t="shared" si="15"/>
        <v>3.36</v>
      </c>
      <c r="L595" s="32" t="s">
        <v>25</v>
      </c>
      <c r="P595" s="11"/>
      <c r="Q595" s="6"/>
    </row>
    <row r="596" spans="1:17" s="7" customFormat="1" ht="66" customHeight="1" x14ac:dyDescent="0.25">
      <c r="A596" s="8"/>
      <c r="B596" s="9"/>
      <c r="C596" s="22" t="s">
        <v>195</v>
      </c>
      <c r="D596" s="24" t="s">
        <v>12</v>
      </c>
      <c r="E596" s="48">
        <v>1.2</v>
      </c>
      <c r="F596" s="48" t="s">
        <v>24</v>
      </c>
      <c r="G596" s="56">
        <v>0.7</v>
      </c>
      <c r="H596" s="56" t="s">
        <v>24</v>
      </c>
      <c r="I596" s="56">
        <v>1</v>
      </c>
      <c r="J596" s="56" t="s">
        <v>12</v>
      </c>
      <c r="K596" s="25">
        <f t="shared" si="15"/>
        <v>0.84</v>
      </c>
      <c r="L596" s="32" t="s">
        <v>25</v>
      </c>
      <c r="P596" s="11"/>
      <c r="Q596" s="6"/>
    </row>
    <row r="597" spans="1:17" s="7" customFormat="1" ht="66" customHeight="1" x14ac:dyDescent="0.25">
      <c r="A597" s="8"/>
      <c r="B597" s="9"/>
      <c r="C597" s="22" t="s">
        <v>94</v>
      </c>
      <c r="D597" s="24" t="s">
        <v>12</v>
      </c>
      <c r="E597" s="48">
        <v>1.4</v>
      </c>
      <c r="F597" s="48" t="s">
        <v>24</v>
      </c>
      <c r="G597" s="56">
        <v>2.4</v>
      </c>
      <c r="H597" s="56" t="s">
        <v>24</v>
      </c>
      <c r="I597" s="56">
        <v>2</v>
      </c>
      <c r="J597" s="56" t="s">
        <v>12</v>
      </c>
      <c r="K597" s="25">
        <f t="shared" si="15"/>
        <v>6.72</v>
      </c>
      <c r="L597" s="32" t="s">
        <v>25</v>
      </c>
      <c r="P597" s="11"/>
      <c r="Q597" s="6"/>
    </row>
    <row r="598" spans="1:17" s="7" customFormat="1" ht="66" customHeight="1" x14ac:dyDescent="0.25">
      <c r="A598" s="8"/>
      <c r="B598" s="9"/>
      <c r="C598" s="22" t="s">
        <v>196</v>
      </c>
      <c r="D598" s="24" t="s">
        <v>12</v>
      </c>
      <c r="E598" s="48">
        <v>1.1499999999999999</v>
      </c>
      <c r="F598" s="48" t="s">
        <v>24</v>
      </c>
      <c r="G598" s="56">
        <v>0.7</v>
      </c>
      <c r="H598" s="56" t="s">
        <v>24</v>
      </c>
      <c r="I598" s="56">
        <v>1</v>
      </c>
      <c r="J598" s="56" t="s">
        <v>12</v>
      </c>
      <c r="K598" s="25">
        <f t="shared" si="15"/>
        <v>0.80499999999999994</v>
      </c>
      <c r="L598" s="32" t="s">
        <v>25</v>
      </c>
      <c r="P598" s="11"/>
      <c r="Q598" s="6"/>
    </row>
    <row r="599" spans="1:17" s="7" customFormat="1" ht="66" customHeight="1" x14ac:dyDescent="0.25">
      <c r="A599" s="8"/>
      <c r="B599" s="9"/>
      <c r="C599" s="22" t="s">
        <v>95</v>
      </c>
      <c r="D599" s="24" t="s">
        <v>12</v>
      </c>
      <c r="E599" s="48">
        <v>1.4</v>
      </c>
      <c r="F599" s="48" t="s">
        <v>24</v>
      </c>
      <c r="G599" s="56">
        <v>2.4</v>
      </c>
      <c r="H599" s="56" t="s">
        <v>24</v>
      </c>
      <c r="I599" s="56">
        <v>4</v>
      </c>
      <c r="J599" s="56" t="s">
        <v>12</v>
      </c>
      <c r="K599" s="25">
        <f t="shared" si="15"/>
        <v>13.44</v>
      </c>
      <c r="L599" s="32" t="s">
        <v>25</v>
      </c>
      <c r="P599" s="11"/>
      <c r="Q599" s="6"/>
    </row>
    <row r="600" spans="1:17" s="7" customFormat="1" ht="66" customHeight="1" x14ac:dyDescent="0.25">
      <c r="A600" s="8"/>
      <c r="B600" s="9"/>
      <c r="C600" s="22" t="s">
        <v>96</v>
      </c>
      <c r="D600" s="24" t="s">
        <v>12</v>
      </c>
      <c r="E600" s="48">
        <v>1.4</v>
      </c>
      <c r="F600" s="48" t="s">
        <v>24</v>
      </c>
      <c r="G600" s="56">
        <v>2.4</v>
      </c>
      <c r="H600" s="56" t="s">
        <v>24</v>
      </c>
      <c r="I600" s="56">
        <v>2</v>
      </c>
      <c r="J600" s="56" t="s">
        <v>12</v>
      </c>
      <c r="K600" s="25">
        <f t="shared" si="15"/>
        <v>6.72</v>
      </c>
      <c r="L600" s="32" t="s">
        <v>25</v>
      </c>
      <c r="P600" s="11"/>
      <c r="Q600" s="6"/>
    </row>
    <row r="601" spans="1:17" s="7" customFormat="1" ht="66" customHeight="1" x14ac:dyDescent="0.25">
      <c r="A601" s="8"/>
      <c r="B601" s="9"/>
      <c r="C601" s="22" t="s">
        <v>197</v>
      </c>
      <c r="D601" s="24" t="s">
        <v>12</v>
      </c>
      <c r="E601" s="48">
        <v>1.2</v>
      </c>
      <c r="F601" s="48" t="s">
        <v>24</v>
      </c>
      <c r="G601" s="56">
        <v>0.7</v>
      </c>
      <c r="H601" s="56" t="s">
        <v>24</v>
      </c>
      <c r="I601" s="56">
        <v>2</v>
      </c>
      <c r="J601" s="56" t="s">
        <v>12</v>
      </c>
      <c r="K601" s="25">
        <f t="shared" si="15"/>
        <v>1.68</v>
      </c>
      <c r="L601" s="32" t="s">
        <v>25</v>
      </c>
      <c r="P601" s="11"/>
      <c r="Q601" s="6"/>
    </row>
    <row r="602" spans="1:17" s="7" customFormat="1" ht="66" customHeight="1" x14ac:dyDescent="0.25">
      <c r="A602" s="8"/>
      <c r="B602" s="9"/>
      <c r="C602" s="22" t="s">
        <v>97</v>
      </c>
      <c r="D602" s="24" t="s">
        <v>12</v>
      </c>
      <c r="E602" s="48">
        <v>1.4</v>
      </c>
      <c r="F602" s="48" t="s">
        <v>24</v>
      </c>
      <c r="G602" s="56">
        <v>2.4</v>
      </c>
      <c r="H602" s="56" t="s">
        <v>24</v>
      </c>
      <c r="I602" s="56">
        <v>1</v>
      </c>
      <c r="J602" s="56" t="s">
        <v>12</v>
      </c>
      <c r="K602" s="25">
        <f t="shared" si="15"/>
        <v>3.36</v>
      </c>
      <c r="L602" s="32" t="s">
        <v>25</v>
      </c>
      <c r="P602" s="11"/>
      <c r="Q602" s="6"/>
    </row>
    <row r="603" spans="1:17" s="7" customFormat="1" ht="66" customHeight="1" x14ac:dyDescent="0.25">
      <c r="A603" s="8"/>
      <c r="B603" s="9"/>
      <c r="C603" s="22" t="s">
        <v>116</v>
      </c>
      <c r="D603" s="24" t="s">
        <v>12</v>
      </c>
      <c r="E603" s="48">
        <v>1.2</v>
      </c>
      <c r="F603" s="48" t="s">
        <v>24</v>
      </c>
      <c r="G603" s="56">
        <v>0.7</v>
      </c>
      <c r="H603" s="56" t="s">
        <v>24</v>
      </c>
      <c r="I603" s="56">
        <v>1</v>
      </c>
      <c r="J603" s="56" t="s">
        <v>12</v>
      </c>
      <c r="K603" s="25">
        <f t="shared" si="15"/>
        <v>0.84</v>
      </c>
      <c r="L603" s="32" t="s">
        <v>25</v>
      </c>
      <c r="P603" s="11"/>
      <c r="Q603" s="6"/>
    </row>
    <row r="604" spans="1:17" s="7" customFormat="1" ht="66" customHeight="1" x14ac:dyDescent="0.25">
      <c r="A604" s="8"/>
      <c r="B604" s="9"/>
      <c r="C604" s="22" t="s">
        <v>98</v>
      </c>
      <c r="D604" s="24" t="s">
        <v>12</v>
      </c>
      <c r="E604" s="48">
        <v>1.4</v>
      </c>
      <c r="F604" s="48" t="s">
        <v>24</v>
      </c>
      <c r="G604" s="56">
        <v>2.4</v>
      </c>
      <c r="H604" s="56" t="s">
        <v>24</v>
      </c>
      <c r="I604" s="56">
        <v>1</v>
      </c>
      <c r="J604" s="56" t="s">
        <v>12</v>
      </c>
      <c r="K604" s="25">
        <f t="shared" si="15"/>
        <v>3.36</v>
      </c>
      <c r="L604" s="32" t="s">
        <v>25</v>
      </c>
      <c r="P604" s="11"/>
      <c r="Q604" s="6"/>
    </row>
    <row r="605" spans="1:17" s="7" customFormat="1" ht="66" customHeight="1" x14ac:dyDescent="0.25">
      <c r="A605" s="8"/>
      <c r="B605" s="9"/>
      <c r="C605" s="22" t="s">
        <v>117</v>
      </c>
      <c r="D605" s="24" t="s">
        <v>12</v>
      </c>
      <c r="E605" s="48">
        <v>1.2</v>
      </c>
      <c r="F605" s="48" t="s">
        <v>24</v>
      </c>
      <c r="G605" s="56">
        <v>0.7</v>
      </c>
      <c r="H605" s="56" t="s">
        <v>24</v>
      </c>
      <c r="I605" s="56">
        <v>1</v>
      </c>
      <c r="J605" s="56" t="s">
        <v>12</v>
      </c>
      <c r="K605" s="25">
        <f t="shared" si="15"/>
        <v>0.84</v>
      </c>
      <c r="L605" s="32" t="s">
        <v>25</v>
      </c>
      <c r="P605" s="11"/>
      <c r="Q605" s="6"/>
    </row>
    <row r="606" spans="1:17" s="7" customFormat="1" ht="66" customHeight="1" x14ac:dyDescent="0.25">
      <c r="A606" s="8"/>
      <c r="B606" s="9"/>
      <c r="C606" s="22" t="s">
        <v>99</v>
      </c>
      <c r="D606" s="24" t="s">
        <v>12</v>
      </c>
      <c r="E606" s="48">
        <v>1.4</v>
      </c>
      <c r="F606" s="48" t="s">
        <v>24</v>
      </c>
      <c r="G606" s="56">
        <v>2.4</v>
      </c>
      <c r="H606" s="56" t="s">
        <v>24</v>
      </c>
      <c r="I606" s="56">
        <v>1</v>
      </c>
      <c r="J606" s="56" t="s">
        <v>12</v>
      </c>
      <c r="K606" s="25">
        <f t="shared" si="15"/>
        <v>3.36</v>
      </c>
      <c r="L606" s="32" t="s">
        <v>25</v>
      </c>
      <c r="P606" s="11"/>
      <c r="Q606" s="6"/>
    </row>
    <row r="607" spans="1:17" s="7" customFormat="1" ht="66" customHeight="1" x14ac:dyDescent="0.25">
      <c r="A607" s="8"/>
      <c r="B607" s="9"/>
      <c r="C607" s="22" t="s">
        <v>118</v>
      </c>
      <c r="D607" s="24" t="s">
        <v>12</v>
      </c>
      <c r="E607" s="48">
        <v>1.2</v>
      </c>
      <c r="F607" s="48" t="s">
        <v>24</v>
      </c>
      <c r="G607" s="56">
        <v>0.7</v>
      </c>
      <c r="H607" s="56" t="s">
        <v>24</v>
      </c>
      <c r="I607" s="56">
        <v>1</v>
      </c>
      <c r="J607" s="56" t="s">
        <v>12</v>
      </c>
      <c r="K607" s="25">
        <f t="shared" si="15"/>
        <v>0.84</v>
      </c>
      <c r="L607" s="32" t="s">
        <v>25</v>
      </c>
      <c r="P607" s="11"/>
      <c r="Q607" s="6"/>
    </row>
    <row r="608" spans="1:17" s="7" customFormat="1" ht="66" customHeight="1" x14ac:dyDescent="0.25">
      <c r="A608" s="8"/>
      <c r="B608" s="9"/>
      <c r="C608" s="22" t="s">
        <v>100</v>
      </c>
      <c r="D608" s="24" t="s">
        <v>12</v>
      </c>
      <c r="E608" s="48">
        <v>1.4</v>
      </c>
      <c r="F608" s="48" t="s">
        <v>24</v>
      </c>
      <c r="G608" s="56">
        <v>2.4</v>
      </c>
      <c r="H608" s="56" t="s">
        <v>24</v>
      </c>
      <c r="I608" s="56">
        <v>2</v>
      </c>
      <c r="J608" s="56" t="s">
        <v>12</v>
      </c>
      <c r="K608" s="25">
        <f t="shared" si="15"/>
        <v>6.72</v>
      </c>
      <c r="L608" s="32" t="s">
        <v>25</v>
      </c>
      <c r="P608" s="11"/>
      <c r="Q608" s="6"/>
    </row>
    <row r="609" spans="1:17" s="7" customFormat="1" ht="66" customHeight="1" x14ac:dyDescent="0.25">
      <c r="A609" s="8"/>
      <c r="B609" s="9"/>
      <c r="C609" s="22" t="s">
        <v>101</v>
      </c>
      <c r="D609" s="24" t="s">
        <v>12</v>
      </c>
      <c r="E609" s="48">
        <v>1.4</v>
      </c>
      <c r="F609" s="48" t="s">
        <v>24</v>
      </c>
      <c r="G609" s="56">
        <v>2.4</v>
      </c>
      <c r="H609" s="56" t="s">
        <v>24</v>
      </c>
      <c r="I609" s="56">
        <v>2</v>
      </c>
      <c r="J609" s="56" t="s">
        <v>12</v>
      </c>
      <c r="K609" s="25">
        <f t="shared" si="15"/>
        <v>6.72</v>
      </c>
      <c r="L609" s="32" t="s">
        <v>25</v>
      </c>
      <c r="P609" s="11"/>
      <c r="Q609" s="6"/>
    </row>
    <row r="610" spans="1:17" s="7" customFormat="1" ht="66" customHeight="1" x14ac:dyDescent="0.25">
      <c r="A610" s="8"/>
      <c r="B610" s="9"/>
      <c r="C610" s="22" t="s">
        <v>198</v>
      </c>
      <c r="D610" s="24" t="s">
        <v>12</v>
      </c>
      <c r="E610" s="48">
        <v>1.2</v>
      </c>
      <c r="F610" s="48" t="s">
        <v>24</v>
      </c>
      <c r="G610" s="56">
        <v>0.7</v>
      </c>
      <c r="H610" s="56" t="s">
        <v>24</v>
      </c>
      <c r="I610" s="56">
        <v>1</v>
      </c>
      <c r="J610" s="56" t="s">
        <v>12</v>
      </c>
      <c r="K610" s="25">
        <f t="shared" si="15"/>
        <v>0.84</v>
      </c>
      <c r="L610" s="32" t="s">
        <v>25</v>
      </c>
      <c r="P610" s="11"/>
      <c r="Q610" s="6"/>
    </row>
    <row r="611" spans="1:17" s="7" customFormat="1" ht="66" customHeight="1" x14ac:dyDescent="0.25">
      <c r="A611" s="8"/>
      <c r="B611" s="9"/>
      <c r="C611" s="22"/>
      <c r="D611" s="24"/>
      <c r="E611" s="48"/>
      <c r="F611" s="48"/>
      <c r="G611" s="56"/>
      <c r="H611" s="56"/>
      <c r="I611" s="56"/>
      <c r="J611" s="56"/>
      <c r="K611" s="25"/>
      <c r="L611" s="32"/>
      <c r="P611" s="11"/>
      <c r="Q611" s="6"/>
    </row>
    <row r="612" spans="1:17" s="7" customFormat="1" ht="66" customHeight="1" x14ac:dyDescent="0.25">
      <c r="A612" s="8"/>
      <c r="B612" s="9"/>
      <c r="C612" s="22"/>
      <c r="D612" s="24"/>
      <c r="E612" s="48" t="s">
        <v>199</v>
      </c>
      <c r="F612" s="48"/>
      <c r="G612" s="56" t="s">
        <v>200</v>
      </c>
      <c r="H612" s="56"/>
      <c r="I612" s="56" t="s">
        <v>75</v>
      </c>
      <c r="J612" s="56"/>
      <c r="K612" s="25"/>
      <c r="L612" s="32"/>
      <c r="P612" s="11"/>
      <c r="Q612" s="6"/>
    </row>
    <row r="613" spans="1:17" s="7" customFormat="1" ht="66" customHeight="1" x14ac:dyDescent="0.25">
      <c r="A613" s="8"/>
      <c r="B613" s="9"/>
      <c r="C613" s="22" t="s">
        <v>201</v>
      </c>
      <c r="D613" s="24"/>
      <c r="E613" s="48"/>
      <c r="F613" s="48"/>
      <c r="G613" s="56"/>
      <c r="H613" s="56"/>
      <c r="I613" s="56"/>
      <c r="J613" s="56"/>
      <c r="K613" s="25"/>
      <c r="L613" s="32"/>
      <c r="P613" s="11"/>
      <c r="Q613" s="6"/>
    </row>
    <row r="614" spans="1:17" s="7" customFormat="1" ht="66" customHeight="1" x14ac:dyDescent="0.25">
      <c r="A614" s="8"/>
      <c r="B614" s="9"/>
      <c r="C614" s="53" t="s">
        <v>202</v>
      </c>
      <c r="D614" s="54" t="s">
        <v>12</v>
      </c>
      <c r="E614" s="80">
        <f>PI()</f>
        <v>3.1415926535897931</v>
      </c>
      <c r="F614" s="55" t="s">
        <v>24</v>
      </c>
      <c r="G614" s="67">
        <f>(0.7^2)/2</f>
        <v>0.24499999999999997</v>
      </c>
      <c r="H614" s="67" t="s">
        <v>24</v>
      </c>
      <c r="I614" s="67">
        <v>2</v>
      </c>
      <c r="J614" s="67" t="s">
        <v>12</v>
      </c>
      <c r="K614" s="55">
        <f>E614*G614*I614</f>
        <v>1.5393804002589984</v>
      </c>
      <c r="L614" s="54" t="s">
        <v>25</v>
      </c>
      <c r="P614" s="11"/>
      <c r="Q614" s="6"/>
    </row>
    <row r="615" spans="1:17" s="7" customFormat="1" ht="66" customHeight="1" x14ac:dyDescent="0.25">
      <c r="A615" s="8"/>
      <c r="B615" s="9"/>
      <c r="C615" s="53" t="s">
        <v>203</v>
      </c>
      <c r="D615" s="54" t="s">
        <v>12</v>
      </c>
      <c r="E615" s="80">
        <f>PI()</f>
        <v>3.1415926535897931</v>
      </c>
      <c r="F615" s="55" t="s">
        <v>24</v>
      </c>
      <c r="G615" s="67">
        <f>(0.55^2)/2</f>
        <v>0.15125000000000002</v>
      </c>
      <c r="H615" s="67" t="s">
        <v>24</v>
      </c>
      <c r="I615" s="67">
        <v>1</v>
      </c>
      <c r="J615" s="67" t="s">
        <v>12</v>
      </c>
      <c r="K615" s="55">
        <f>E615*G615*I615</f>
        <v>0.4751658888554563</v>
      </c>
      <c r="L615" s="54" t="s">
        <v>25</v>
      </c>
      <c r="P615" s="11"/>
      <c r="Q615" s="6"/>
    </row>
    <row r="616" spans="1:17" s="7" customFormat="1" ht="66" customHeight="1" x14ac:dyDescent="0.25">
      <c r="A616" s="8"/>
      <c r="B616" s="9"/>
      <c r="C616" s="53" t="s">
        <v>204</v>
      </c>
      <c r="D616" s="54" t="s">
        <v>12</v>
      </c>
      <c r="E616" s="80">
        <f>PI()</f>
        <v>3.1415926535897931</v>
      </c>
      <c r="F616" s="55" t="s">
        <v>24</v>
      </c>
      <c r="G616" s="67">
        <f>(0.7^2)/2</f>
        <v>0.24499999999999997</v>
      </c>
      <c r="H616" s="67" t="s">
        <v>24</v>
      </c>
      <c r="I616" s="67">
        <v>1</v>
      </c>
      <c r="J616" s="67" t="s">
        <v>12</v>
      </c>
      <c r="K616" s="55">
        <f>E616*G616*I616</f>
        <v>0.76969020012949918</v>
      </c>
      <c r="L616" s="54" t="s">
        <v>25</v>
      </c>
      <c r="P616" s="11"/>
      <c r="Q616" s="6"/>
    </row>
    <row r="617" spans="1:17" s="7" customFormat="1" ht="66" customHeight="1" x14ac:dyDescent="0.25">
      <c r="A617" s="8"/>
      <c r="B617" s="9"/>
      <c r="C617" s="81"/>
      <c r="D617" s="82"/>
      <c r="E617" s="83"/>
      <c r="F617" s="83"/>
      <c r="G617" s="84"/>
      <c r="H617" s="84"/>
      <c r="I617" s="84"/>
      <c r="J617" s="84"/>
      <c r="K617" s="83"/>
      <c r="L617" s="82"/>
      <c r="P617" s="11"/>
      <c r="Q617" s="6"/>
    </row>
    <row r="618" spans="1:17" s="7" customFormat="1" ht="66" customHeight="1" x14ac:dyDescent="0.25">
      <c r="A618" s="8"/>
      <c r="B618" s="9"/>
      <c r="C618" s="10"/>
      <c r="I618" s="27" t="s">
        <v>48</v>
      </c>
      <c r="J618" s="26" t="s">
        <v>12</v>
      </c>
      <c r="K618" s="26">
        <f>SUM(K563:K616)</f>
        <v>177.82923648924407</v>
      </c>
      <c r="L618" s="27" t="s">
        <v>25</v>
      </c>
      <c r="P618" s="11"/>
      <c r="Q618" s="6"/>
    </row>
    <row r="619" spans="1:17" s="7" customFormat="1" ht="66" customHeight="1" x14ac:dyDescent="0.25">
      <c r="A619" s="8"/>
      <c r="B619" s="9"/>
      <c r="C619" s="22"/>
      <c r="D619" s="24"/>
      <c r="E619" s="48"/>
      <c r="F619" s="48"/>
      <c r="G619" s="56"/>
      <c r="H619" s="56"/>
      <c r="I619" s="66"/>
      <c r="J619" s="66"/>
      <c r="K619" s="26"/>
      <c r="L619" s="27"/>
      <c r="P619" s="11"/>
      <c r="Q619" s="6"/>
    </row>
    <row r="620" spans="1:17" s="7" customFormat="1" ht="66" customHeight="1" x14ac:dyDescent="0.25">
      <c r="A620" s="8"/>
      <c r="B620" s="9"/>
      <c r="C620" s="52"/>
      <c r="D620" s="27"/>
      <c r="E620" s="26"/>
      <c r="F620" s="26"/>
      <c r="L620" s="10"/>
      <c r="P620" s="11"/>
      <c r="Q620" s="6"/>
    </row>
    <row r="621" spans="1:17" s="7" customFormat="1" ht="66" customHeight="1" x14ac:dyDescent="0.25">
      <c r="A621" s="8"/>
      <c r="B621" s="18" t="s">
        <v>205</v>
      </c>
      <c r="C621" s="19" t="str">
        <f>VLOOKUP($B621,[1]ORÇ_ANALITICO!$A$10:$K$137,2,0)</f>
        <v>14.002.0081-0</v>
      </c>
      <c r="D621" s="157" t="str">
        <f>VLOOKUP($C621,[1]ORÇ_ANALITICO!$B$10:$L$137,4,0)</f>
        <v>PORTAO DE FERRO, ATE 1,00M DE LARGURA, EM BARRAS DE 1/2", ESPACADAS DE 10CM, ENTRE EIXOS, CONTORNO E MARCO EM BARRAS DE1.1/2"X1/2", COM UMA FAIXA HORIZONTAL EM CHAPA DE FERRO DE1/8" ESPESSURA,EXCLUSIVE FECHADURA.FORNECIMENTO E COLOCACAO</v>
      </c>
      <c r="E621" s="157" t="e">
        <f>VLOOKUP(D621,[1]ORÇ_ANALITICO!C485:M584,2,0)</f>
        <v>#N/A</v>
      </c>
      <c r="F621" s="157" t="e">
        <f>VLOOKUP(E621,[1]ORÇ_ANALITICO!E485:N584,2,0)</f>
        <v>#N/A</v>
      </c>
      <c r="G621" s="157" t="e">
        <f>VLOOKUP(F621,[1]ORÇ_ANALITICO!F485:O584,2,0)</f>
        <v>#N/A</v>
      </c>
      <c r="H621" s="157" t="e">
        <f>VLOOKUP(G621,[1]ORÇ_ANALITICO!G485:P584,2,0)</f>
        <v>#N/A</v>
      </c>
      <c r="I621" s="157" t="e">
        <f>VLOOKUP(H621,[1]ORÇ_ANALITICO!H485:Q584,2,0)</f>
        <v>#N/A</v>
      </c>
      <c r="J621" s="157" t="e">
        <f>VLOOKUP(I621,[1]ORÇ_ANALITICO!I485:R584,2,0)</f>
        <v>#N/A</v>
      </c>
      <c r="K621" s="157" t="e">
        <f>VLOOKUP(J621,[1]ORÇ_ANALITICO!J485:S584,2,0)</f>
        <v>#N/A</v>
      </c>
      <c r="L621" s="157" t="e">
        <f>VLOOKUP(K621,[1]ORÇ_ANALITICO!K485:T584,2,0)</f>
        <v>#N/A</v>
      </c>
      <c r="M621" s="157" t="e">
        <f>VLOOKUP(L621,[1]ORÇ_ANALITICO!L485:U584,2,0)</f>
        <v>#N/A</v>
      </c>
      <c r="N621" s="157" t="e">
        <f>VLOOKUP(M621,[1]ORÇ_ANALITICO!M485:V584,2,0)</f>
        <v>#N/A</v>
      </c>
      <c r="O621" s="20" t="str">
        <f>VLOOKUP($C621,[1]ORÇ_ANALITICO!$B$10:$L$137,5,0)</f>
        <v>M2</v>
      </c>
      <c r="P621" s="20">
        <f>I625</f>
        <v>1.2</v>
      </c>
      <c r="Q621" s="6"/>
    </row>
    <row r="622" spans="1:17" s="7" customFormat="1" ht="66" customHeight="1" x14ac:dyDescent="0.25">
      <c r="A622" s="8"/>
      <c r="B622" s="9"/>
      <c r="C622" s="52"/>
      <c r="D622" s="27"/>
      <c r="E622" s="26"/>
      <c r="F622" s="26"/>
      <c r="L622" s="10"/>
      <c r="P622" s="11"/>
      <c r="Q622" s="6"/>
    </row>
    <row r="623" spans="1:17" s="7" customFormat="1" ht="66" customHeight="1" x14ac:dyDescent="0.25">
      <c r="A623" s="8"/>
      <c r="B623" s="9"/>
      <c r="C623" s="22"/>
      <c r="D623" s="24"/>
      <c r="E623" s="48" t="s">
        <v>22</v>
      </c>
      <c r="F623" s="48"/>
      <c r="G623" s="56" t="s">
        <v>23</v>
      </c>
      <c r="H623" s="56"/>
      <c r="I623" s="56"/>
      <c r="J623" s="56"/>
      <c r="L623" s="10"/>
      <c r="P623" s="11"/>
      <c r="Q623" s="6"/>
    </row>
    <row r="624" spans="1:17" s="7" customFormat="1" ht="66" customHeight="1" x14ac:dyDescent="0.25">
      <c r="A624" s="8"/>
      <c r="B624" s="9"/>
      <c r="C624" s="22"/>
      <c r="D624" s="24"/>
      <c r="E624" s="48"/>
      <c r="F624" s="48"/>
      <c r="G624" s="56"/>
      <c r="H624" s="56"/>
      <c r="I624" s="56"/>
      <c r="J624" s="56"/>
      <c r="L624" s="10"/>
      <c r="P624" s="11"/>
      <c r="Q624" s="6"/>
    </row>
    <row r="625" spans="1:17" s="7" customFormat="1" ht="66" customHeight="1" x14ac:dyDescent="0.25">
      <c r="A625" s="8"/>
      <c r="B625" s="9"/>
      <c r="C625" s="22" t="s">
        <v>206</v>
      </c>
      <c r="D625" s="24" t="s">
        <v>12</v>
      </c>
      <c r="E625" s="48">
        <v>1</v>
      </c>
      <c r="F625" s="48" t="s">
        <v>24</v>
      </c>
      <c r="G625" s="56">
        <v>1.2</v>
      </c>
      <c r="H625" s="56" t="s">
        <v>12</v>
      </c>
      <c r="I625" s="66">
        <f>E625*G625</f>
        <v>1.2</v>
      </c>
      <c r="J625" s="66" t="s">
        <v>25</v>
      </c>
      <c r="L625" s="10"/>
      <c r="P625" s="11"/>
      <c r="Q625" s="6"/>
    </row>
    <row r="626" spans="1:17" s="7" customFormat="1" ht="66" customHeight="1" x14ac:dyDescent="0.25">
      <c r="A626" s="8"/>
      <c r="B626" s="9"/>
      <c r="C626" s="52"/>
      <c r="D626" s="27"/>
      <c r="E626" s="26"/>
      <c r="F626" s="26"/>
      <c r="L626" s="10"/>
      <c r="P626" s="11"/>
      <c r="Q626" s="6"/>
    </row>
    <row r="627" spans="1:17" s="7" customFormat="1" ht="66" customHeight="1" x14ac:dyDescent="0.25">
      <c r="A627" s="8"/>
      <c r="B627" s="158" t="str">
        <f>[1]ORÇ_ANALITICO!B57</f>
        <v>INSTALAÇÕES ELÉTRICAS E HIDROSSANITÁRIAS</v>
      </c>
      <c r="C627" s="159"/>
      <c r="D627" s="159"/>
      <c r="E627" s="159"/>
      <c r="F627" s="159"/>
      <c r="G627" s="159"/>
      <c r="H627" s="159"/>
      <c r="I627" s="159"/>
      <c r="J627" s="159"/>
      <c r="K627" s="159"/>
      <c r="L627" s="159"/>
      <c r="M627" s="159"/>
      <c r="N627" s="159"/>
      <c r="O627" s="159"/>
      <c r="P627" s="160"/>
      <c r="Q627" s="6"/>
    </row>
    <row r="628" spans="1:17" s="7" customFormat="1" ht="66" customHeight="1" x14ac:dyDescent="0.25">
      <c r="A628" s="8"/>
      <c r="B628" s="18" t="s">
        <v>207</v>
      </c>
      <c r="C628" s="19" t="str">
        <f>VLOOKUP($B628,[1]ORÇ_ANALITICO!$A$10:$K$137,2,0)</f>
        <v>15.036.0052-0</v>
      </c>
      <c r="D628" s="157" t="str">
        <f>VLOOKUP($C628,[1]ORÇ_ANALITICO!$B$10:$L$137,4,0)</f>
        <v>TUBO DE PVC RIGIDO DE 100MM,SOLDAVEL,INCLUSIVE CONEXOES E EMENDAS,EXCLUSIVE ABERTURA E FECHAMENTO DE RASGO.FORNECIMENTOE ASSENTAMENTO</v>
      </c>
      <c r="E628" s="157" t="e">
        <f>VLOOKUP(D628,[1]ORÇ_ANALITICO!C492:M591,2,0)</f>
        <v>#N/A</v>
      </c>
      <c r="F628" s="157" t="e">
        <f>VLOOKUP(E628,[1]ORÇ_ANALITICO!E492:N591,2,0)</f>
        <v>#N/A</v>
      </c>
      <c r="G628" s="157" t="e">
        <f>VLOOKUP(F628,[1]ORÇ_ANALITICO!F492:O591,2,0)</f>
        <v>#N/A</v>
      </c>
      <c r="H628" s="157" t="e">
        <f>VLOOKUP(G628,[1]ORÇ_ANALITICO!G492:P591,2,0)</f>
        <v>#N/A</v>
      </c>
      <c r="I628" s="157" t="e">
        <f>VLOOKUP(H628,[1]ORÇ_ANALITICO!H492:Q591,2,0)</f>
        <v>#N/A</v>
      </c>
      <c r="J628" s="157" t="e">
        <f>VLOOKUP(I628,[1]ORÇ_ANALITICO!I492:R591,2,0)</f>
        <v>#N/A</v>
      </c>
      <c r="K628" s="157" t="e">
        <f>VLOOKUP(J628,[1]ORÇ_ANALITICO!J492:S591,2,0)</f>
        <v>#N/A</v>
      </c>
      <c r="L628" s="157" t="e">
        <f>VLOOKUP(K628,[1]ORÇ_ANALITICO!K492:T591,2,0)</f>
        <v>#N/A</v>
      </c>
      <c r="M628" s="157" t="e">
        <f>VLOOKUP(L628,[1]ORÇ_ANALITICO!L492:U591,2,0)</f>
        <v>#N/A</v>
      </c>
      <c r="N628" s="157" t="e">
        <f>VLOOKUP(M628,[1]ORÇ_ANALITICO!M492:V591,2,0)</f>
        <v>#N/A</v>
      </c>
      <c r="O628" s="20" t="str">
        <f>VLOOKUP($C628,[1]ORÇ_ANALITICO!$B$10:$L$137,5,0)</f>
        <v>M</v>
      </c>
      <c r="P628" s="20">
        <f>I635</f>
        <v>149</v>
      </c>
      <c r="Q628" s="6"/>
    </row>
    <row r="629" spans="1:17" s="7" customFormat="1" ht="66" customHeight="1" x14ac:dyDescent="0.25">
      <c r="A629" s="8"/>
      <c r="B629" s="9"/>
      <c r="C629" s="52"/>
      <c r="D629" s="27"/>
      <c r="E629" s="26"/>
      <c r="F629" s="26"/>
      <c r="L629" s="10"/>
      <c r="P629" s="11"/>
      <c r="Q629" s="6"/>
    </row>
    <row r="630" spans="1:17" s="7" customFormat="1" ht="66" customHeight="1" x14ac:dyDescent="0.25">
      <c r="A630" s="8"/>
      <c r="B630" s="9"/>
      <c r="C630" s="22"/>
      <c r="D630" s="24"/>
      <c r="E630" s="48" t="s">
        <v>22</v>
      </c>
      <c r="F630" s="48"/>
      <c r="G630" s="49" t="s">
        <v>75</v>
      </c>
      <c r="H630" s="49"/>
      <c r="I630" s="49"/>
      <c r="J630" s="49"/>
      <c r="L630" s="10"/>
      <c r="P630" s="11"/>
      <c r="Q630" s="6"/>
    </row>
    <row r="631" spans="1:17" s="7" customFormat="1" ht="66" customHeight="1" x14ac:dyDescent="0.25">
      <c r="A631" s="8"/>
      <c r="B631" s="9"/>
      <c r="C631" s="22"/>
      <c r="D631" s="24"/>
      <c r="E631" s="48"/>
      <c r="F631" s="48"/>
      <c r="G631" s="49"/>
      <c r="H631" s="49"/>
      <c r="I631" s="49"/>
      <c r="J631" s="49"/>
      <c r="L631" s="10"/>
      <c r="P631" s="11"/>
      <c r="Q631" s="6"/>
    </row>
    <row r="632" spans="1:17" s="7" customFormat="1" ht="66" customHeight="1" x14ac:dyDescent="0.25">
      <c r="A632" s="8"/>
      <c r="B632" s="9"/>
      <c r="C632" s="22" t="s">
        <v>208</v>
      </c>
      <c r="D632" s="24" t="s">
        <v>12</v>
      </c>
      <c r="E632" s="48">
        <v>15.3</v>
      </c>
      <c r="F632" s="48" t="s">
        <v>24</v>
      </c>
      <c r="G632" s="49">
        <v>6</v>
      </c>
      <c r="H632" s="49" t="s">
        <v>12</v>
      </c>
      <c r="I632" s="49">
        <f>E632*G632</f>
        <v>91.800000000000011</v>
      </c>
      <c r="J632" s="49" t="s">
        <v>158</v>
      </c>
      <c r="L632" s="10"/>
      <c r="P632" s="11"/>
      <c r="Q632" s="6"/>
    </row>
    <row r="633" spans="1:17" s="7" customFormat="1" ht="66" customHeight="1" x14ac:dyDescent="0.25">
      <c r="A633" s="8"/>
      <c r="B633" s="9"/>
      <c r="C633" s="22" t="s">
        <v>208</v>
      </c>
      <c r="D633" s="24" t="s">
        <v>12</v>
      </c>
      <c r="E633" s="48">
        <v>14.3</v>
      </c>
      <c r="F633" s="48" t="s">
        <v>24</v>
      </c>
      <c r="G633" s="49">
        <v>4</v>
      </c>
      <c r="H633" s="49" t="s">
        <v>12</v>
      </c>
      <c r="I633" s="49">
        <f>E633*G633</f>
        <v>57.2</v>
      </c>
      <c r="J633" s="49" t="s">
        <v>158</v>
      </c>
      <c r="L633" s="10"/>
      <c r="P633" s="11"/>
      <c r="Q633" s="6"/>
    </row>
    <row r="634" spans="1:17" s="7" customFormat="1" ht="66" customHeight="1" x14ac:dyDescent="0.25">
      <c r="A634" s="8"/>
      <c r="B634" s="9"/>
      <c r="C634" s="10"/>
      <c r="L634" s="10"/>
      <c r="P634" s="11"/>
      <c r="Q634" s="6"/>
    </row>
    <row r="635" spans="1:17" s="7" customFormat="1" ht="66" customHeight="1" x14ac:dyDescent="0.25">
      <c r="A635" s="8"/>
      <c r="B635" s="9"/>
      <c r="C635" s="10"/>
      <c r="G635" s="27" t="s">
        <v>48</v>
      </c>
      <c r="H635" s="27" t="s">
        <v>12</v>
      </c>
      <c r="I635" s="26">
        <f>SUM(I632:I633)</f>
        <v>149</v>
      </c>
      <c r="J635" s="27" t="s">
        <v>158</v>
      </c>
      <c r="L635" s="10"/>
      <c r="P635" s="11"/>
      <c r="Q635" s="6"/>
    </row>
    <row r="636" spans="1:17" s="7" customFormat="1" ht="66" customHeight="1" x14ac:dyDescent="0.25">
      <c r="A636" s="8"/>
      <c r="B636" s="9"/>
      <c r="C636" s="52"/>
      <c r="D636" s="27"/>
      <c r="E636" s="26"/>
      <c r="F636" s="26"/>
      <c r="L636" s="10"/>
      <c r="P636" s="11"/>
      <c r="Q636" s="6"/>
    </row>
    <row r="637" spans="1:17" s="7" customFormat="1" ht="66" customHeight="1" x14ac:dyDescent="0.25">
      <c r="A637" s="8"/>
      <c r="B637" s="18" t="s">
        <v>209</v>
      </c>
      <c r="C637" s="19">
        <f>VLOOKUP($B637,[1]ORÇ_ANALITICO!$A$10:$K$137,2,0)</f>
        <v>103782</v>
      </c>
      <c r="D637" s="157" t="str">
        <f>VLOOKUP($C637,[1]ORÇ_ANALITICO!$B$10:$L$137,4,0)</f>
        <v>LUMINÁRIA TIPO PLAFON CIRCULAR, DE SOBREPOR, COM LED DE 12/13 W - FORNECIMENTO E INSTALAÇÃO. AF_09/2024</v>
      </c>
      <c r="E637" s="157" t="e">
        <f>VLOOKUP(D637,[1]ORÇ_ANALITICO!C501:M600,2,0)</f>
        <v>#N/A</v>
      </c>
      <c r="F637" s="157" t="e">
        <f>VLOOKUP(E637,[1]ORÇ_ANALITICO!E501:N600,2,0)</f>
        <v>#N/A</v>
      </c>
      <c r="G637" s="157" t="e">
        <f>VLOOKUP(F637,[1]ORÇ_ANALITICO!F501:O600,2,0)</f>
        <v>#N/A</v>
      </c>
      <c r="H637" s="157" t="e">
        <f>VLOOKUP(G637,[1]ORÇ_ANALITICO!G501:P600,2,0)</f>
        <v>#N/A</v>
      </c>
      <c r="I637" s="157" t="e">
        <f>VLOOKUP(H637,[1]ORÇ_ANALITICO!H501:Q600,2,0)</f>
        <v>#N/A</v>
      </c>
      <c r="J637" s="157" t="e">
        <f>VLOOKUP(I637,[1]ORÇ_ANALITICO!I501:R600,2,0)</f>
        <v>#N/A</v>
      </c>
      <c r="K637" s="157" t="e">
        <f>VLOOKUP(J637,[1]ORÇ_ANALITICO!J501:S600,2,0)</f>
        <v>#N/A</v>
      </c>
      <c r="L637" s="157" t="e">
        <f>VLOOKUP(K637,[1]ORÇ_ANALITICO!K501:T600,2,0)</f>
        <v>#N/A</v>
      </c>
      <c r="M637" s="157" t="e">
        <f>VLOOKUP(L637,[1]ORÇ_ANALITICO!L501:U600,2,0)</f>
        <v>#N/A</v>
      </c>
      <c r="N637" s="157" t="e">
        <f>VLOOKUP(M637,[1]ORÇ_ANALITICO!M501:V600,2,0)</f>
        <v>#N/A</v>
      </c>
      <c r="O637" s="20" t="str">
        <f>VLOOKUP($C637,[1]ORÇ_ANALITICO!$B$10:$L$137,5,0)</f>
        <v>UN</v>
      </c>
      <c r="P637" s="20">
        <f>E648</f>
        <v>15</v>
      </c>
      <c r="Q637" s="6"/>
    </row>
    <row r="638" spans="1:17" s="7" customFormat="1" ht="66" customHeight="1" x14ac:dyDescent="0.25">
      <c r="A638" s="8"/>
      <c r="B638" s="9"/>
      <c r="C638" s="10"/>
      <c r="L638" s="10"/>
      <c r="P638" s="11"/>
      <c r="Q638" s="6"/>
    </row>
    <row r="639" spans="1:17" s="7" customFormat="1" ht="66" customHeight="1" x14ac:dyDescent="0.25">
      <c r="A639" s="8"/>
      <c r="B639" s="9"/>
      <c r="C639" s="32"/>
      <c r="D639" s="32"/>
      <c r="E639" s="24" t="s">
        <v>75</v>
      </c>
      <c r="F639" s="32"/>
      <c r="L639" s="10"/>
      <c r="P639" s="11"/>
      <c r="Q639" s="6"/>
    </row>
    <row r="640" spans="1:17" s="7" customFormat="1" ht="66" customHeight="1" x14ac:dyDescent="0.25">
      <c r="A640" s="8"/>
      <c r="B640" s="9"/>
      <c r="C640" s="32"/>
      <c r="D640" s="32"/>
      <c r="E640" s="32"/>
      <c r="F640" s="32"/>
      <c r="L640" s="10"/>
      <c r="P640" s="11"/>
      <c r="Q640" s="6"/>
    </row>
    <row r="641" spans="1:17" s="7" customFormat="1" ht="66" customHeight="1" x14ac:dyDescent="0.25">
      <c r="A641" s="8"/>
      <c r="B641" s="9"/>
      <c r="C641" s="85" t="s">
        <v>210</v>
      </c>
      <c r="D641" s="85"/>
      <c r="E641" s="32"/>
      <c r="F641" s="32"/>
      <c r="L641" s="10"/>
      <c r="P641" s="11"/>
      <c r="Q641" s="6"/>
    </row>
    <row r="642" spans="1:17" s="7" customFormat="1" ht="66" customHeight="1" x14ac:dyDescent="0.25">
      <c r="A642" s="8"/>
      <c r="B642" s="9"/>
      <c r="C642" s="86" t="s">
        <v>211</v>
      </c>
      <c r="D642" s="24" t="s">
        <v>12</v>
      </c>
      <c r="E642" s="85">
        <v>3</v>
      </c>
      <c r="F642" s="24" t="s">
        <v>77</v>
      </c>
      <c r="L642" s="10"/>
      <c r="P642" s="11"/>
      <c r="Q642" s="6"/>
    </row>
    <row r="643" spans="1:17" s="7" customFormat="1" ht="66" customHeight="1" x14ac:dyDescent="0.25">
      <c r="A643" s="8"/>
      <c r="B643" s="9"/>
      <c r="C643" s="86" t="s">
        <v>212</v>
      </c>
      <c r="D643" s="24" t="s">
        <v>12</v>
      </c>
      <c r="E643" s="85">
        <v>6</v>
      </c>
      <c r="F643" s="24" t="s">
        <v>77</v>
      </c>
      <c r="L643" s="10"/>
      <c r="P643" s="11"/>
      <c r="Q643" s="6"/>
    </row>
    <row r="644" spans="1:17" s="7" customFormat="1" ht="66" customHeight="1" x14ac:dyDescent="0.25">
      <c r="A644" s="8"/>
      <c r="B644" s="9"/>
      <c r="C644" s="85" t="s">
        <v>213</v>
      </c>
      <c r="D644" s="24" t="s">
        <v>12</v>
      </c>
      <c r="E644" s="85">
        <v>1</v>
      </c>
      <c r="F644" s="24" t="s">
        <v>77</v>
      </c>
      <c r="L644" s="10"/>
      <c r="P644" s="11"/>
      <c r="Q644" s="6"/>
    </row>
    <row r="645" spans="1:17" s="7" customFormat="1" ht="66" customHeight="1" x14ac:dyDescent="0.25">
      <c r="A645" s="8"/>
      <c r="B645" s="9"/>
      <c r="C645" s="86" t="s">
        <v>214</v>
      </c>
      <c r="D645" s="32"/>
      <c r="E645" s="85"/>
      <c r="F645" s="24"/>
      <c r="L645" s="10"/>
      <c r="P645" s="11"/>
      <c r="Q645" s="6"/>
    </row>
    <row r="646" spans="1:17" s="7" customFormat="1" ht="66" customHeight="1" x14ac:dyDescent="0.25">
      <c r="A646" s="8"/>
      <c r="B646" s="9"/>
      <c r="C646" s="86" t="s">
        <v>215</v>
      </c>
      <c r="D646" s="24" t="s">
        <v>12</v>
      </c>
      <c r="E646" s="85">
        <v>5</v>
      </c>
      <c r="F646" s="24" t="s">
        <v>77</v>
      </c>
      <c r="L646" s="10"/>
      <c r="P646" s="11"/>
      <c r="Q646" s="6"/>
    </row>
    <row r="647" spans="1:17" s="7" customFormat="1" ht="66" customHeight="1" x14ac:dyDescent="0.25">
      <c r="A647" s="8"/>
      <c r="B647" s="9"/>
      <c r="C647" s="32"/>
      <c r="D647" s="32"/>
      <c r="E647" s="32"/>
      <c r="F647" s="32"/>
      <c r="L647" s="10"/>
      <c r="P647" s="11"/>
      <c r="Q647" s="6"/>
    </row>
    <row r="648" spans="1:17" s="7" customFormat="1" ht="66" customHeight="1" x14ac:dyDescent="0.25">
      <c r="A648" s="8"/>
      <c r="B648" s="9"/>
      <c r="C648" s="87" t="s">
        <v>48</v>
      </c>
      <c r="D648" s="27" t="s">
        <v>12</v>
      </c>
      <c r="E648" s="87">
        <f>SUM(E642:E646)</f>
        <v>15</v>
      </c>
      <c r="F648" s="88" t="s">
        <v>77</v>
      </c>
      <c r="L648" s="10"/>
      <c r="P648" s="11"/>
      <c r="Q648" s="6"/>
    </row>
    <row r="649" spans="1:17" s="7" customFormat="1" ht="66" customHeight="1" x14ac:dyDescent="0.25">
      <c r="A649" s="8"/>
      <c r="B649" s="9"/>
      <c r="C649" s="10"/>
      <c r="L649" s="10"/>
      <c r="P649" s="11"/>
      <c r="Q649" s="6"/>
    </row>
    <row r="650" spans="1:17" s="7" customFormat="1" ht="66" customHeight="1" x14ac:dyDescent="0.25">
      <c r="A650" s="8"/>
      <c r="B650" s="18" t="s">
        <v>216</v>
      </c>
      <c r="C650" s="19" t="str">
        <f>VLOOKUP($B650,[1]ORÇ_ANALITICO!$A$10:$K$137,2,0)</f>
        <v>15.019.0020-0</v>
      </c>
      <c r="D650" s="157" t="str">
        <f>VLOOKUP($C650,[1]ORÇ_ANALITICO!$B$10:$L$137,4,0)</f>
        <v>INTERRUPTOR DE EMBUTIR COM 1 TECLA SIMPLES FOSFORESCENTE E PLACA.FORNECIMENTO E COLOCACAO</v>
      </c>
      <c r="E650" s="157" t="e">
        <f>VLOOKUP(D650,[1]ORÇ_ANALITICO!C514:M613,2,0)</f>
        <v>#N/A</v>
      </c>
      <c r="F650" s="157" t="e">
        <f>VLOOKUP(E650,[1]ORÇ_ANALITICO!E514:N613,2,0)</f>
        <v>#N/A</v>
      </c>
      <c r="G650" s="157" t="e">
        <f>VLOOKUP(F650,[1]ORÇ_ANALITICO!F514:O613,2,0)</f>
        <v>#N/A</v>
      </c>
      <c r="H650" s="157" t="e">
        <f>VLOOKUP(G650,[1]ORÇ_ANALITICO!G514:P613,2,0)</f>
        <v>#N/A</v>
      </c>
      <c r="I650" s="157" t="e">
        <f>VLOOKUP(H650,[1]ORÇ_ANALITICO!H514:Q613,2,0)</f>
        <v>#N/A</v>
      </c>
      <c r="J650" s="157" t="e">
        <f>VLOOKUP(I650,[1]ORÇ_ANALITICO!I514:R613,2,0)</f>
        <v>#N/A</v>
      </c>
      <c r="K650" s="157" t="e">
        <f>VLOOKUP(J650,[1]ORÇ_ANALITICO!J514:S613,2,0)</f>
        <v>#N/A</v>
      </c>
      <c r="L650" s="157" t="e">
        <f>VLOOKUP(K650,[1]ORÇ_ANALITICO!K514:T613,2,0)</f>
        <v>#N/A</v>
      </c>
      <c r="M650" s="157" t="e">
        <f>VLOOKUP(L650,[1]ORÇ_ANALITICO!L514:U613,2,0)</f>
        <v>#N/A</v>
      </c>
      <c r="N650" s="157" t="e">
        <f>VLOOKUP(M650,[1]ORÇ_ANALITICO!M514:V613,2,0)</f>
        <v>#N/A</v>
      </c>
      <c r="O650" s="20" t="str">
        <f>VLOOKUP($C650,[1]ORÇ_ANALITICO!$B$10:$L$137,5,0)</f>
        <v>UN</v>
      </c>
      <c r="P650" s="20">
        <f>E676</f>
        <v>20</v>
      </c>
      <c r="Q650" s="6"/>
    </row>
    <row r="651" spans="1:17" s="7" customFormat="1" ht="66" customHeight="1" x14ac:dyDescent="0.25">
      <c r="A651" s="8"/>
      <c r="B651" s="9"/>
      <c r="C651" s="10"/>
      <c r="L651" s="10"/>
      <c r="P651" s="11"/>
      <c r="Q651" s="6"/>
    </row>
    <row r="652" spans="1:17" s="7" customFormat="1" ht="66" customHeight="1" x14ac:dyDescent="0.25">
      <c r="A652" s="8"/>
      <c r="B652" s="9"/>
      <c r="C652" s="32"/>
      <c r="D652" s="32"/>
      <c r="E652" s="24" t="s">
        <v>75</v>
      </c>
      <c r="F652" s="32"/>
      <c r="L652" s="10"/>
      <c r="P652" s="11"/>
      <c r="Q652" s="6"/>
    </row>
    <row r="653" spans="1:17" s="7" customFormat="1" ht="66" customHeight="1" x14ac:dyDescent="0.25">
      <c r="A653" s="8"/>
      <c r="B653" s="9"/>
      <c r="C653" s="32"/>
      <c r="D653" s="32"/>
      <c r="E653" s="32"/>
      <c r="F653" s="32"/>
      <c r="L653" s="10"/>
      <c r="P653" s="11"/>
      <c r="Q653" s="6"/>
    </row>
    <row r="654" spans="1:17" s="7" customFormat="1" ht="66" customHeight="1" x14ac:dyDescent="0.25">
      <c r="A654" s="8"/>
      <c r="B654" s="9"/>
      <c r="C654" s="86" t="s">
        <v>210</v>
      </c>
      <c r="D654" s="85"/>
      <c r="E654" s="32"/>
      <c r="F654" s="32"/>
      <c r="L654" s="10"/>
      <c r="P654" s="11"/>
      <c r="Q654" s="6"/>
    </row>
    <row r="655" spans="1:17" s="7" customFormat="1" ht="66" customHeight="1" x14ac:dyDescent="0.25">
      <c r="A655" s="8"/>
      <c r="B655" s="9"/>
      <c r="C655" s="86" t="s">
        <v>217</v>
      </c>
      <c r="D655" s="24" t="s">
        <v>12</v>
      </c>
      <c r="E655" s="85">
        <v>1</v>
      </c>
      <c r="F655" s="24" t="s">
        <v>77</v>
      </c>
      <c r="L655" s="10"/>
      <c r="P655" s="11"/>
      <c r="Q655" s="6"/>
    </row>
    <row r="656" spans="1:17" s="7" customFormat="1" ht="66" customHeight="1" x14ac:dyDescent="0.25">
      <c r="A656" s="8"/>
      <c r="B656" s="9"/>
      <c r="C656" s="86" t="s">
        <v>218</v>
      </c>
      <c r="D656" s="24" t="s">
        <v>12</v>
      </c>
      <c r="E656" s="85">
        <v>1</v>
      </c>
      <c r="F656" s="24" t="s">
        <v>77</v>
      </c>
      <c r="L656" s="10"/>
      <c r="P656" s="11"/>
      <c r="Q656" s="6"/>
    </row>
    <row r="657" spans="1:17" s="7" customFormat="1" ht="66" customHeight="1" x14ac:dyDescent="0.25">
      <c r="A657" s="8"/>
      <c r="B657" s="9"/>
      <c r="C657" s="86" t="s">
        <v>219</v>
      </c>
      <c r="D657" s="24" t="s">
        <v>12</v>
      </c>
      <c r="E657" s="85">
        <v>1</v>
      </c>
      <c r="F657" s="24" t="s">
        <v>77</v>
      </c>
      <c r="L657" s="10"/>
      <c r="P657" s="11"/>
      <c r="Q657" s="6"/>
    </row>
    <row r="658" spans="1:17" s="7" customFormat="1" ht="66" customHeight="1" x14ac:dyDescent="0.25">
      <c r="A658" s="8"/>
      <c r="B658" s="9"/>
      <c r="C658" s="86" t="s">
        <v>104</v>
      </c>
      <c r="D658" s="24" t="s">
        <v>12</v>
      </c>
      <c r="E658" s="85">
        <v>1</v>
      </c>
      <c r="F658" s="24" t="s">
        <v>77</v>
      </c>
      <c r="L658" s="10"/>
      <c r="P658" s="11"/>
      <c r="Q658" s="6"/>
    </row>
    <row r="659" spans="1:17" s="7" customFormat="1" ht="66" customHeight="1" x14ac:dyDescent="0.25">
      <c r="A659" s="8"/>
      <c r="B659" s="9"/>
      <c r="C659" s="86" t="s">
        <v>220</v>
      </c>
      <c r="D659" s="24" t="s">
        <v>12</v>
      </c>
      <c r="E659" s="85">
        <v>1</v>
      </c>
      <c r="F659" s="24" t="s">
        <v>77</v>
      </c>
      <c r="L659" s="10"/>
      <c r="P659" s="11"/>
      <c r="Q659" s="6"/>
    </row>
    <row r="660" spans="1:17" s="7" customFormat="1" ht="66" customHeight="1" x14ac:dyDescent="0.25">
      <c r="A660" s="8"/>
      <c r="B660" s="9"/>
      <c r="C660" s="86" t="s">
        <v>212</v>
      </c>
      <c r="D660" s="24" t="s">
        <v>12</v>
      </c>
      <c r="E660" s="85">
        <v>1</v>
      </c>
      <c r="F660" s="24" t="s">
        <v>77</v>
      </c>
      <c r="L660" s="10"/>
      <c r="P660" s="11"/>
      <c r="Q660" s="6"/>
    </row>
    <row r="661" spans="1:17" s="7" customFormat="1" ht="66" customHeight="1" x14ac:dyDescent="0.25">
      <c r="A661" s="8"/>
      <c r="B661" s="9"/>
      <c r="C661" s="86" t="s">
        <v>213</v>
      </c>
      <c r="D661" s="24" t="s">
        <v>12</v>
      </c>
      <c r="E661" s="85">
        <v>1</v>
      </c>
      <c r="F661" s="24" t="s">
        <v>77</v>
      </c>
      <c r="L661" s="10"/>
      <c r="P661" s="11"/>
      <c r="Q661" s="6"/>
    </row>
    <row r="662" spans="1:17" s="7" customFormat="1" ht="66" customHeight="1" x14ac:dyDescent="0.25">
      <c r="A662" s="8"/>
      <c r="B662" s="9"/>
      <c r="C662" s="86" t="s">
        <v>221</v>
      </c>
      <c r="D662" s="24" t="s">
        <v>12</v>
      </c>
      <c r="E662" s="85">
        <v>1</v>
      </c>
      <c r="F662" s="24" t="s">
        <v>77</v>
      </c>
      <c r="L662" s="10"/>
      <c r="P662" s="11"/>
      <c r="Q662" s="6"/>
    </row>
    <row r="663" spans="1:17" s="7" customFormat="1" ht="66" customHeight="1" x14ac:dyDescent="0.25">
      <c r="A663" s="8"/>
      <c r="B663" s="9"/>
      <c r="C663" s="86" t="s">
        <v>222</v>
      </c>
      <c r="D663" s="24" t="s">
        <v>12</v>
      </c>
      <c r="E663" s="85">
        <v>1</v>
      </c>
      <c r="F663" s="24" t="s">
        <v>77</v>
      </c>
      <c r="L663" s="10"/>
      <c r="P663" s="11"/>
      <c r="Q663" s="6"/>
    </row>
    <row r="664" spans="1:17" s="7" customFormat="1" ht="66" customHeight="1" x14ac:dyDescent="0.25">
      <c r="A664" s="8"/>
      <c r="B664" s="9"/>
      <c r="C664" s="86" t="s">
        <v>223</v>
      </c>
      <c r="D664" s="24" t="s">
        <v>12</v>
      </c>
      <c r="E664" s="85">
        <v>1</v>
      </c>
      <c r="F664" s="24" t="s">
        <v>77</v>
      </c>
      <c r="L664" s="10"/>
      <c r="P664" s="11"/>
      <c r="Q664" s="6"/>
    </row>
    <row r="665" spans="1:17" s="7" customFormat="1" ht="66" customHeight="1" x14ac:dyDescent="0.25">
      <c r="A665" s="8"/>
      <c r="B665" s="9"/>
      <c r="C665" s="86" t="s">
        <v>224</v>
      </c>
      <c r="D665" s="24" t="s">
        <v>12</v>
      </c>
      <c r="E665" s="85">
        <v>1</v>
      </c>
      <c r="F665" s="24" t="s">
        <v>77</v>
      </c>
      <c r="L665" s="10"/>
      <c r="P665" s="11"/>
      <c r="Q665" s="6"/>
    </row>
    <row r="666" spans="1:17" s="7" customFormat="1" ht="66" customHeight="1" x14ac:dyDescent="0.25">
      <c r="A666" s="8"/>
      <c r="B666" s="9"/>
      <c r="C666" s="86" t="s">
        <v>71</v>
      </c>
      <c r="D666" s="24" t="s">
        <v>12</v>
      </c>
      <c r="E666" s="85">
        <v>1</v>
      </c>
      <c r="F666" s="24" t="s">
        <v>77</v>
      </c>
      <c r="L666" s="10"/>
      <c r="P666" s="11"/>
      <c r="Q666" s="6"/>
    </row>
    <row r="667" spans="1:17" s="7" customFormat="1" ht="66" customHeight="1" x14ac:dyDescent="0.25">
      <c r="A667" s="8"/>
      <c r="B667" s="9"/>
      <c r="C667" s="86" t="s">
        <v>225</v>
      </c>
      <c r="D667" s="24" t="s">
        <v>12</v>
      </c>
      <c r="E667" s="85">
        <v>1</v>
      </c>
      <c r="F667" s="24" t="s">
        <v>77</v>
      </c>
      <c r="L667" s="10"/>
      <c r="P667" s="11"/>
      <c r="Q667" s="6"/>
    </row>
    <row r="668" spans="1:17" s="7" customFormat="1" ht="66" customHeight="1" x14ac:dyDescent="0.25">
      <c r="A668" s="8"/>
      <c r="B668" s="9"/>
      <c r="C668" s="86" t="s">
        <v>214</v>
      </c>
      <c r="D668" s="24"/>
      <c r="E668" s="85"/>
      <c r="F668" s="24"/>
      <c r="L668" s="10"/>
      <c r="P668" s="11"/>
      <c r="Q668" s="6"/>
    </row>
    <row r="669" spans="1:17" s="7" customFormat="1" ht="66" customHeight="1" x14ac:dyDescent="0.25">
      <c r="A669" s="8"/>
      <c r="B669" s="9"/>
      <c r="C669" s="86" t="s">
        <v>226</v>
      </c>
      <c r="D669" s="24" t="s">
        <v>12</v>
      </c>
      <c r="E669" s="85">
        <v>1</v>
      </c>
      <c r="F669" s="24" t="s">
        <v>77</v>
      </c>
      <c r="L669" s="10"/>
      <c r="P669" s="11"/>
      <c r="Q669" s="6"/>
    </row>
    <row r="670" spans="1:17" s="7" customFormat="1" ht="66" customHeight="1" x14ac:dyDescent="0.25">
      <c r="A670" s="8"/>
      <c r="B670" s="9"/>
      <c r="C670" s="86" t="s">
        <v>215</v>
      </c>
      <c r="D670" s="24" t="s">
        <v>12</v>
      </c>
      <c r="E670" s="85">
        <v>2</v>
      </c>
      <c r="F670" s="24" t="s">
        <v>77</v>
      </c>
      <c r="L670" s="10"/>
      <c r="P670" s="11"/>
      <c r="Q670" s="6"/>
    </row>
    <row r="671" spans="1:17" s="7" customFormat="1" ht="66" customHeight="1" x14ac:dyDescent="0.25">
      <c r="A671" s="8"/>
      <c r="B671" s="9"/>
      <c r="C671" s="86" t="s">
        <v>227</v>
      </c>
      <c r="D671" s="24" t="s">
        <v>12</v>
      </c>
      <c r="E671" s="85">
        <v>1</v>
      </c>
      <c r="F671" s="24" t="s">
        <v>77</v>
      </c>
      <c r="L671" s="10"/>
      <c r="P671" s="11"/>
      <c r="Q671" s="6"/>
    </row>
    <row r="672" spans="1:17" s="7" customFormat="1" ht="66" customHeight="1" x14ac:dyDescent="0.25">
      <c r="A672" s="8"/>
      <c r="B672" s="9"/>
      <c r="C672" s="86" t="s">
        <v>228</v>
      </c>
      <c r="D672" s="24" t="s">
        <v>12</v>
      </c>
      <c r="E672" s="85">
        <v>1</v>
      </c>
      <c r="F672" s="24" t="s">
        <v>77</v>
      </c>
      <c r="L672" s="10"/>
      <c r="P672" s="11"/>
      <c r="Q672" s="6"/>
    </row>
    <row r="673" spans="1:17" s="7" customFormat="1" ht="66" customHeight="1" x14ac:dyDescent="0.25">
      <c r="A673" s="8"/>
      <c r="B673" s="9"/>
      <c r="C673" s="86" t="s">
        <v>229</v>
      </c>
      <c r="D673" s="24" t="s">
        <v>12</v>
      </c>
      <c r="E673" s="85">
        <v>1</v>
      </c>
      <c r="F673" s="24" t="s">
        <v>77</v>
      </c>
      <c r="L673" s="10"/>
      <c r="P673" s="11"/>
      <c r="Q673" s="6"/>
    </row>
    <row r="674" spans="1:17" s="7" customFormat="1" ht="66" customHeight="1" x14ac:dyDescent="0.25">
      <c r="A674" s="8"/>
      <c r="B674" s="9"/>
      <c r="C674" s="86" t="s">
        <v>230</v>
      </c>
      <c r="D674" s="24" t="s">
        <v>12</v>
      </c>
      <c r="E674" s="85">
        <v>1</v>
      </c>
      <c r="F674" s="24" t="s">
        <v>77</v>
      </c>
      <c r="L674" s="10"/>
      <c r="P674" s="11"/>
      <c r="Q674" s="6"/>
    </row>
    <row r="675" spans="1:17" s="7" customFormat="1" ht="66" customHeight="1" x14ac:dyDescent="0.25">
      <c r="A675" s="8"/>
      <c r="B675" s="9"/>
      <c r="C675" s="32"/>
      <c r="D675" s="24"/>
      <c r="E675" s="32"/>
      <c r="F675" s="32"/>
      <c r="L675" s="10"/>
      <c r="P675" s="11"/>
      <c r="Q675" s="6"/>
    </row>
    <row r="676" spans="1:17" s="7" customFormat="1" ht="66" customHeight="1" x14ac:dyDescent="0.25">
      <c r="A676" s="8"/>
      <c r="B676" s="9"/>
      <c r="C676" s="87" t="s">
        <v>48</v>
      </c>
      <c r="D676" s="27" t="s">
        <v>12</v>
      </c>
      <c r="E676" s="87">
        <f>SUM(E655:E674)</f>
        <v>20</v>
      </c>
      <c r="F676" s="27" t="s">
        <v>77</v>
      </c>
      <c r="L676" s="10"/>
      <c r="P676" s="11"/>
      <c r="Q676" s="6"/>
    </row>
    <row r="677" spans="1:17" s="7" customFormat="1" ht="66" customHeight="1" x14ac:dyDescent="0.25">
      <c r="A677" s="8"/>
      <c r="B677" s="9"/>
      <c r="C677" s="10"/>
      <c r="L677" s="10"/>
      <c r="P677" s="11"/>
      <c r="Q677" s="6"/>
    </row>
    <row r="678" spans="1:17" s="7" customFormat="1" ht="66" customHeight="1" x14ac:dyDescent="0.25">
      <c r="A678" s="8"/>
      <c r="B678" s="18" t="s">
        <v>231</v>
      </c>
      <c r="C678" s="19" t="str">
        <f>VLOOKUP($B678,[1]ORÇ_ANALITICO!$A$10:$K$137,2,0)</f>
        <v>15.019.0025-0</v>
      </c>
      <c r="D678" s="157" t="str">
        <f>VLOOKUP($C678,[1]ORÇ_ANALITICO!$B$10:$L$137,4,0)</f>
        <v>INTERRUPTOR DE EMBUTIR COM 2 TECLAS SIMPLES FOSFORESCENTES EPLACA.FORNECIMENTO E COLOCACAO</v>
      </c>
      <c r="E678" s="157" t="e">
        <f>VLOOKUP(D678,[1]ORÇ_ANALITICO!C542:M641,2,0)</f>
        <v>#N/A</v>
      </c>
      <c r="F678" s="157" t="e">
        <f>VLOOKUP(E678,[1]ORÇ_ANALITICO!E542:N641,2,0)</f>
        <v>#N/A</v>
      </c>
      <c r="G678" s="157" t="e">
        <f>VLOOKUP(F678,[1]ORÇ_ANALITICO!F542:O641,2,0)</f>
        <v>#N/A</v>
      </c>
      <c r="H678" s="157" t="e">
        <f>VLOOKUP(G678,[1]ORÇ_ANALITICO!G542:P641,2,0)</f>
        <v>#N/A</v>
      </c>
      <c r="I678" s="157" t="e">
        <f>VLOOKUP(H678,[1]ORÇ_ANALITICO!H542:Q641,2,0)</f>
        <v>#N/A</v>
      </c>
      <c r="J678" s="157" t="e">
        <f>VLOOKUP(I678,[1]ORÇ_ANALITICO!I542:R641,2,0)</f>
        <v>#N/A</v>
      </c>
      <c r="K678" s="157" t="e">
        <f>VLOOKUP(J678,[1]ORÇ_ANALITICO!J542:S641,2,0)</f>
        <v>#N/A</v>
      </c>
      <c r="L678" s="157" t="e">
        <f>VLOOKUP(K678,[1]ORÇ_ANALITICO!K542:T641,2,0)</f>
        <v>#N/A</v>
      </c>
      <c r="M678" s="157" t="e">
        <f>VLOOKUP(L678,[1]ORÇ_ANALITICO!L542:U641,2,0)</f>
        <v>#N/A</v>
      </c>
      <c r="N678" s="157" t="e">
        <f>VLOOKUP(M678,[1]ORÇ_ANALITICO!M542:V641,2,0)</f>
        <v>#N/A</v>
      </c>
      <c r="O678" s="20" t="str">
        <f>VLOOKUP($C678,[1]ORÇ_ANALITICO!$B$10:$L$137,5,0)</f>
        <v>UN</v>
      </c>
      <c r="P678" s="20">
        <f>E688</f>
        <v>3</v>
      </c>
      <c r="Q678" s="6"/>
    </row>
    <row r="679" spans="1:17" s="7" customFormat="1" ht="66" customHeight="1" x14ac:dyDescent="0.25">
      <c r="A679" s="8"/>
      <c r="B679" s="9"/>
      <c r="C679" s="10"/>
      <c r="L679" s="10"/>
      <c r="P679" s="11"/>
      <c r="Q679" s="6"/>
    </row>
    <row r="680" spans="1:17" s="7" customFormat="1" ht="66" customHeight="1" x14ac:dyDescent="0.25">
      <c r="A680" s="8"/>
      <c r="B680" s="9"/>
      <c r="C680" s="32"/>
      <c r="D680" s="32"/>
      <c r="E680" s="24" t="s">
        <v>75</v>
      </c>
      <c r="F680" s="32"/>
      <c r="L680" s="10"/>
      <c r="P680" s="11"/>
      <c r="Q680" s="6"/>
    </row>
    <row r="681" spans="1:17" s="7" customFormat="1" ht="66" customHeight="1" x14ac:dyDescent="0.25">
      <c r="A681" s="8"/>
      <c r="B681" s="9"/>
      <c r="C681" s="32"/>
      <c r="D681" s="32"/>
      <c r="E681" s="32"/>
      <c r="F681" s="32"/>
      <c r="L681" s="10"/>
      <c r="P681" s="11"/>
      <c r="Q681" s="6"/>
    </row>
    <row r="682" spans="1:17" s="7" customFormat="1" ht="66" customHeight="1" x14ac:dyDescent="0.25">
      <c r="A682" s="8"/>
      <c r="B682" s="9"/>
      <c r="C682" s="86" t="s">
        <v>210</v>
      </c>
      <c r="D682" s="85"/>
      <c r="E682" s="32"/>
      <c r="F682" s="32"/>
      <c r="L682" s="10"/>
      <c r="P682" s="11"/>
      <c r="Q682" s="6"/>
    </row>
    <row r="683" spans="1:17" s="7" customFormat="1" ht="66" customHeight="1" x14ac:dyDescent="0.25">
      <c r="A683" s="8"/>
      <c r="B683" s="9"/>
      <c r="C683" s="86" t="s">
        <v>124</v>
      </c>
      <c r="D683" s="24" t="s">
        <v>12</v>
      </c>
      <c r="E683" s="85">
        <v>1</v>
      </c>
      <c r="F683" s="24" t="s">
        <v>77</v>
      </c>
      <c r="L683" s="10"/>
      <c r="P683" s="11"/>
      <c r="Q683" s="6"/>
    </row>
    <row r="684" spans="1:17" s="7" customFormat="1" ht="66" customHeight="1" x14ac:dyDescent="0.25">
      <c r="A684" s="8"/>
      <c r="B684" s="9"/>
      <c r="C684" s="86" t="s">
        <v>232</v>
      </c>
      <c r="D684" s="24" t="s">
        <v>12</v>
      </c>
      <c r="E684" s="85">
        <v>1</v>
      </c>
      <c r="F684" s="24" t="s">
        <v>77</v>
      </c>
      <c r="L684" s="10"/>
      <c r="P684" s="11"/>
      <c r="Q684" s="6"/>
    </row>
    <row r="685" spans="1:17" s="7" customFormat="1" ht="66" customHeight="1" x14ac:dyDescent="0.25">
      <c r="A685" s="8"/>
      <c r="B685" s="9"/>
      <c r="C685" s="86" t="s">
        <v>214</v>
      </c>
      <c r="D685" s="24"/>
      <c r="E685" s="85"/>
      <c r="F685" s="24"/>
      <c r="L685" s="10"/>
      <c r="P685" s="11"/>
      <c r="Q685" s="6"/>
    </row>
    <row r="686" spans="1:17" s="7" customFormat="1" ht="66" customHeight="1" x14ac:dyDescent="0.25">
      <c r="A686" s="8"/>
      <c r="B686" s="9"/>
      <c r="C686" s="86" t="s">
        <v>233</v>
      </c>
      <c r="D686" s="24" t="s">
        <v>12</v>
      </c>
      <c r="E686" s="85">
        <v>1</v>
      </c>
      <c r="F686" s="24" t="s">
        <v>77</v>
      </c>
      <c r="L686" s="10"/>
      <c r="P686" s="11"/>
      <c r="Q686" s="6"/>
    </row>
    <row r="687" spans="1:17" s="7" customFormat="1" ht="66" customHeight="1" x14ac:dyDescent="0.25">
      <c r="A687" s="8"/>
      <c r="B687" s="9"/>
      <c r="C687" s="32"/>
      <c r="D687" s="24"/>
      <c r="E687" s="32"/>
      <c r="F687" s="32"/>
      <c r="L687" s="10"/>
      <c r="P687" s="11"/>
      <c r="Q687" s="6"/>
    </row>
    <row r="688" spans="1:17" s="7" customFormat="1" ht="66" customHeight="1" x14ac:dyDescent="0.25">
      <c r="A688" s="8"/>
      <c r="B688" s="9"/>
      <c r="C688" s="88" t="s">
        <v>48</v>
      </c>
      <c r="D688" s="27" t="s">
        <v>12</v>
      </c>
      <c r="E688" s="87">
        <f>SUM(E683:E686)</f>
        <v>3</v>
      </c>
      <c r="F688" s="27" t="s">
        <v>77</v>
      </c>
      <c r="L688" s="10"/>
      <c r="P688" s="11"/>
      <c r="Q688" s="6"/>
    </row>
    <row r="689" spans="1:17" s="7" customFormat="1" ht="66" customHeight="1" x14ac:dyDescent="0.25">
      <c r="A689" s="8"/>
      <c r="B689" s="9"/>
      <c r="C689" s="10"/>
      <c r="L689" s="10"/>
      <c r="P689" s="11"/>
      <c r="Q689" s="6"/>
    </row>
    <row r="690" spans="1:17" s="7" customFormat="1" ht="66" customHeight="1" x14ac:dyDescent="0.25">
      <c r="A690" s="8"/>
      <c r="B690" s="18" t="s">
        <v>234</v>
      </c>
      <c r="C690" s="19" t="str">
        <f>VLOOKUP($B690,[1]ORÇ_ANALITICO!$A$10:$K$137,2,0)</f>
        <v>15.019.0030-0</v>
      </c>
      <c r="D690" s="157" t="str">
        <f>VLOOKUP($C690,[1]ORÇ_ANALITICO!$B$10:$L$137,4,0)</f>
        <v>INTERRUPTOR DE EMBUTIR COM 3 TECLAS SIMPLES FOSFORESCENTES EPLACA.FORNECIMENTO E COLOCACAO</v>
      </c>
      <c r="E690" s="157" t="e">
        <f>VLOOKUP(D690,[1]ORÇ_ANALITICO!C554:M653,2,0)</f>
        <v>#N/A</v>
      </c>
      <c r="F690" s="157" t="e">
        <f>VLOOKUP(E690,[1]ORÇ_ANALITICO!E554:N653,2,0)</f>
        <v>#N/A</v>
      </c>
      <c r="G690" s="157" t="e">
        <f>VLOOKUP(F690,[1]ORÇ_ANALITICO!F554:O653,2,0)</f>
        <v>#N/A</v>
      </c>
      <c r="H690" s="157" t="e">
        <f>VLOOKUP(G690,[1]ORÇ_ANALITICO!G554:P653,2,0)</f>
        <v>#N/A</v>
      </c>
      <c r="I690" s="157" t="e">
        <f>VLOOKUP(H690,[1]ORÇ_ANALITICO!H554:Q653,2,0)</f>
        <v>#N/A</v>
      </c>
      <c r="J690" s="157" t="e">
        <f>VLOOKUP(I690,[1]ORÇ_ANALITICO!I554:R653,2,0)</f>
        <v>#N/A</v>
      </c>
      <c r="K690" s="157" t="e">
        <f>VLOOKUP(J690,[1]ORÇ_ANALITICO!J554:S653,2,0)</f>
        <v>#N/A</v>
      </c>
      <c r="L690" s="157" t="e">
        <f>VLOOKUP(K690,[1]ORÇ_ANALITICO!K554:T653,2,0)</f>
        <v>#N/A</v>
      </c>
      <c r="M690" s="157" t="e">
        <f>VLOOKUP(L690,[1]ORÇ_ANALITICO!L554:U653,2,0)</f>
        <v>#N/A</v>
      </c>
      <c r="N690" s="157" t="e">
        <f>VLOOKUP(M690,[1]ORÇ_ANALITICO!M554:V653,2,0)</f>
        <v>#N/A</v>
      </c>
      <c r="O690" s="20" t="str">
        <f>VLOOKUP($C690,[1]ORÇ_ANALITICO!$B$10:$L$137,5,0)</f>
        <v>UN</v>
      </c>
      <c r="P690" s="20">
        <f>E701</f>
        <v>5</v>
      </c>
      <c r="Q690" s="6"/>
    </row>
    <row r="691" spans="1:17" s="7" customFormat="1" ht="66" customHeight="1" x14ac:dyDescent="0.25">
      <c r="A691" s="8"/>
      <c r="B691" s="9"/>
      <c r="C691" s="10"/>
      <c r="L691" s="10"/>
      <c r="P691" s="11"/>
      <c r="Q691" s="6"/>
    </row>
    <row r="692" spans="1:17" s="7" customFormat="1" ht="66" customHeight="1" x14ac:dyDescent="0.25">
      <c r="A692" s="8"/>
      <c r="B692" s="9"/>
      <c r="C692" s="32"/>
      <c r="D692" s="32"/>
      <c r="E692" s="24" t="s">
        <v>75</v>
      </c>
      <c r="F692" s="32"/>
      <c r="L692" s="10"/>
      <c r="P692" s="11"/>
      <c r="Q692" s="6"/>
    </row>
    <row r="693" spans="1:17" s="7" customFormat="1" ht="66" customHeight="1" x14ac:dyDescent="0.25">
      <c r="A693" s="8"/>
      <c r="B693" s="9"/>
      <c r="C693" s="32"/>
      <c r="D693" s="32"/>
      <c r="E693" s="32"/>
      <c r="F693" s="32"/>
      <c r="L693" s="10"/>
      <c r="P693" s="11"/>
      <c r="Q693" s="6"/>
    </row>
    <row r="694" spans="1:17" s="7" customFormat="1" ht="66" customHeight="1" x14ac:dyDescent="0.25">
      <c r="A694" s="8"/>
      <c r="B694" s="9"/>
      <c r="C694" s="86" t="s">
        <v>210</v>
      </c>
      <c r="D694" s="85"/>
      <c r="E694" s="32"/>
      <c r="F694" s="32"/>
      <c r="L694" s="10"/>
      <c r="P694" s="11"/>
      <c r="Q694" s="6"/>
    </row>
    <row r="695" spans="1:17" s="7" customFormat="1" ht="66" customHeight="1" x14ac:dyDescent="0.25">
      <c r="A695" s="8"/>
      <c r="B695" s="9"/>
      <c r="C695" s="86" t="s">
        <v>235</v>
      </c>
      <c r="D695" s="24" t="s">
        <v>12</v>
      </c>
      <c r="E695" s="85">
        <v>1</v>
      </c>
      <c r="F695" s="24" t="s">
        <v>77</v>
      </c>
      <c r="L695" s="10"/>
      <c r="P695" s="11"/>
      <c r="Q695" s="6"/>
    </row>
    <row r="696" spans="1:17" s="7" customFormat="1" ht="66" customHeight="1" x14ac:dyDescent="0.25">
      <c r="A696" s="8"/>
      <c r="B696" s="9"/>
      <c r="C696" s="86" t="s">
        <v>59</v>
      </c>
      <c r="D696" s="24" t="s">
        <v>12</v>
      </c>
      <c r="E696" s="85">
        <v>1</v>
      </c>
      <c r="F696" s="24" t="s">
        <v>77</v>
      </c>
      <c r="L696" s="10"/>
      <c r="P696" s="11"/>
      <c r="Q696" s="6"/>
    </row>
    <row r="697" spans="1:17" s="7" customFormat="1" ht="66" customHeight="1" x14ac:dyDescent="0.25">
      <c r="A697" s="8"/>
      <c r="B697" s="9"/>
      <c r="C697" s="86" t="s">
        <v>214</v>
      </c>
      <c r="D697" s="24"/>
      <c r="E697" s="85"/>
      <c r="F697" s="24"/>
      <c r="L697" s="10"/>
      <c r="P697" s="11"/>
      <c r="Q697" s="6"/>
    </row>
    <row r="698" spans="1:17" s="7" customFormat="1" ht="66" customHeight="1" x14ac:dyDescent="0.25">
      <c r="A698" s="8"/>
      <c r="B698" s="9"/>
      <c r="C698" s="86" t="s">
        <v>64</v>
      </c>
      <c r="D698" s="24" t="s">
        <v>12</v>
      </c>
      <c r="E698" s="85">
        <v>2</v>
      </c>
      <c r="F698" s="24" t="s">
        <v>77</v>
      </c>
      <c r="L698" s="10"/>
      <c r="P698" s="11"/>
      <c r="Q698" s="6"/>
    </row>
    <row r="699" spans="1:17" s="7" customFormat="1" ht="66" customHeight="1" x14ac:dyDescent="0.25">
      <c r="A699" s="8"/>
      <c r="B699" s="9"/>
      <c r="C699" s="86" t="s">
        <v>70</v>
      </c>
      <c r="D699" s="24" t="s">
        <v>12</v>
      </c>
      <c r="E699" s="85">
        <v>1</v>
      </c>
      <c r="F699" s="24" t="s">
        <v>77</v>
      </c>
      <c r="L699" s="10"/>
      <c r="P699" s="11"/>
      <c r="Q699" s="6"/>
    </row>
    <row r="700" spans="1:17" s="7" customFormat="1" ht="66" customHeight="1" x14ac:dyDescent="0.25">
      <c r="A700" s="8"/>
      <c r="B700" s="9"/>
      <c r="C700" s="32"/>
      <c r="D700" s="24"/>
      <c r="E700" s="32"/>
      <c r="F700" s="32"/>
      <c r="L700" s="10"/>
      <c r="P700" s="11"/>
      <c r="Q700" s="6"/>
    </row>
    <row r="701" spans="1:17" s="7" customFormat="1" ht="66" customHeight="1" x14ac:dyDescent="0.25">
      <c r="A701" s="8"/>
      <c r="B701" s="9"/>
      <c r="C701" s="88" t="s">
        <v>48</v>
      </c>
      <c r="D701" s="27" t="s">
        <v>12</v>
      </c>
      <c r="E701" s="87">
        <f>SUM(E695:E699)</f>
        <v>5</v>
      </c>
      <c r="F701" s="27" t="s">
        <v>77</v>
      </c>
      <c r="L701" s="10"/>
      <c r="P701" s="11"/>
      <c r="Q701" s="6"/>
    </row>
    <row r="702" spans="1:17" s="7" customFormat="1" ht="66" customHeight="1" x14ac:dyDescent="0.25">
      <c r="A702" s="8"/>
      <c r="B702" s="9"/>
      <c r="C702" s="10"/>
      <c r="L702" s="10"/>
      <c r="P702" s="11"/>
      <c r="Q702" s="6"/>
    </row>
    <row r="703" spans="1:17" s="7" customFormat="1" ht="66" customHeight="1" x14ac:dyDescent="0.25">
      <c r="A703" s="8"/>
      <c r="B703" s="18" t="s">
        <v>236</v>
      </c>
      <c r="C703" s="19" t="str">
        <f>VLOOKUP($B703,[1]ORÇ_ANALITICO!$A$10:$K$137,2,0)</f>
        <v>15.019.0050-0</v>
      </c>
      <c r="D703" s="157" t="str">
        <f>VLOOKUP($C703,[1]ORÇ_ANALITICO!$B$10:$L$137,4,0)</f>
        <v>TOMADA ELETRICA 2P+T,10A/250V,PADRAO BRASILEIRO,DE EMBUTIR,COM PLACA 4"X2".FORNECIMENTO E COLOCACAO.</v>
      </c>
      <c r="E703" s="157" t="e">
        <f>VLOOKUP(D703,[1]ORÇ_ANALITICO!C567:M666,2,0)</f>
        <v>#N/A</v>
      </c>
      <c r="F703" s="157" t="e">
        <f>VLOOKUP(E703,[1]ORÇ_ANALITICO!E567:N666,2,0)</f>
        <v>#N/A</v>
      </c>
      <c r="G703" s="157" t="e">
        <f>VLOOKUP(F703,[1]ORÇ_ANALITICO!F567:O666,2,0)</f>
        <v>#N/A</v>
      </c>
      <c r="H703" s="157" t="e">
        <f>VLOOKUP(G703,[1]ORÇ_ANALITICO!G567:P666,2,0)</f>
        <v>#N/A</v>
      </c>
      <c r="I703" s="157" t="e">
        <f>VLOOKUP(H703,[1]ORÇ_ANALITICO!H567:Q666,2,0)</f>
        <v>#N/A</v>
      </c>
      <c r="J703" s="157" t="e">
        <f>VLOOKUP(I703,[1]ORÇ_ANALITICO!I567:R666,2,0)</f>
        <v>#N/A</v>
      </c>
      <c r="K703" s="157" t="e">
        <f>VLOOKUP(J703,[1]ORÇ_ANALITICO!J567:S666,2,0)</f>
        <v>#N/A</v>
      </c>
      <c r="L703" s="157" t="e">
        <f>VLOOKUP(K703,[1]ORÇ_ANALITICO!K567:T666,2,0)</f>
        <v>#N/A</v>
      </c>
      <c r="M703" s="157" t="e">
        <f>VLOOKUP(L703,[1]ORÇ_ANALITICO!L567:U666,2,0)</f>
        <v>#N/A</v>
      </c>
      <c r="N703" s="157" t="e">
        <f>VLOOKUP(M703,[1]ORÇ_ANALITICO!M567:V666,2,0)</f>
        <v>#N/A</v>
      </c>
      <c r="O703" s="20" t="str">
        <f>VLOOKUP($C703,[1]ORÇ_ANALITICO!$B$10:$L$137,5,0)</f>
        <v>UN</v>
      </c>
      <c r="P703" s="20">
        <f>E710</f>
        <v>135</v>
      </c>
      <c r="Q703" s="6"/>
    </row>
    <row r="704" spans="1:17" s="7" customFormat="1" ht="66" customHeight="1" x14ac:dyDescent="0.25">
      <c r="A704" s="8"/>
      <c r="B704" s="9"/>
      <c r="C704" s="10"/>
      <c r="L704" s="10"/>
      <c r="P704" s="11"/>
      <c r="Q704" s="6"/>
    </row>
    <row r="705" spans="1:17" s="7" customFormat="1" ht="66" customHeight="1" x14ac:dyDescent="0.25">
      <c r="A705" s="8"/>
      <c r="B705" s="9"/>
      <c r="C705" s="32"/>
      <c r="D705" s="32"/>
      <c r="E705" s="24" t="s">
        <v>75</v>
      </c>
      <c r="F705" s="32"/>
      <c r="L705" s="10"/>
      <c r="P705" s="11"/>
      <c r="Q705" s="6"/>
    </row>
    <row r="706" spans="1:17" s="7" customFormat="1" ht="66" customHeight="1" x14ac:dyDescent="0.25">
      <c r="A706" s="8"/>
      <c r="B706" s="9"/>
      <c r="C706" s="32"/>
      <c r="D706" s="32"/>
      <c r="E706" s="32"/>
      <c r="F706" s="32"/>
      <c r="L706" s="10"/>
      <c r="P706" s="11"/>
      <c r="Q706" s="6"/>
    </row>
    <row r="707" spans="1:17" s="7" customFormat="1" ht="66" customHeight="1" x14ac:dyDescent="0.25">
      <c r="A707" s="8"/>
      <c r="B707" s="9"/>
      <c r="C707" s="86" t="s">
        <v>210</v>
      </c>
      <c r="D707" s="24" t="s">
        <v>12</v>
      </c>
      <c r="E707" s="32">
        <f>9+11+48</f>
        <v>68</v>
      </c>
      <c r="F707" s="32"/>
      <c r="L707" s="10"/>
      <c r="P707" s="11"/>
      <c r="Q707" s="6"/>
    </row>
    <row r="708" spans="1:17" s="7" customFormat="1" ht="66" customHeight="1" x14ac:dyDescent="0.25">
      <c r="A708" s="8"/>
      <c r="B708" s="9"/>
      <c r="C708" s="86" t="s">
        <v>214</v>
      </c>
      <c r="D708" s="24" t="s">
        <v>12</v>
      </c>
      <c r="E708" s="85">
        <f>7+11+49</f>
        <v>67</v>
      </c>
      <c r="F708" s="24"/>
      <c r="L708" s="10"/>
      <c r="P708" s="11"/>
      <c r="Q708" s="6"/>
    </row>
    <row r="709" spans="1:17" s="7" customFormat="1" ht="66" customHeight="1" x14ac:dyDescent="0.25">
      <c r="A709" s="8"/>
      <c r="B709" s="9"/>
      <c r="C709" s="32"/>
      <c r="D709" s="24"/>
      <c r="E709" s="32"/>
      <c r="F709" s="32"/>
      <c r="L709" s="10"/>
      <c r="P709" s="11"/>
      <c r="Q709" s="6"/>
    </row>
    <row r="710" spans="1:17" s="7" customFormat="1" ht="66" customHeight="1" x14ac:dyDescent="0.25">
      <c r="A710" s="8"/>
      <c r="B710" s="9"/>
      <c r="C710" s="88" t="s">
        <v>48</v>
      </c>
      <c r="D710" s="27" t="s">
        <v>12</v>
      </c>
      <c r="E710" s="87">
        <f>SUM(E707:E708)</f>
        <v>135</v>
      </c>
      <c r="F710" s="27" t="s">
        <v>77</v>
      </c>
      <c r="L710" s="10"/>
      <c r="P710" s="11"/>
      <c r="Q710" s="6"/>
    </row>
    <row r="711" spans="1:17" s="7" customFormat="1" ht="66" customHeight="1" x14ac:dyDescent="0.25">
      <c r="A711" s="8"/>
      <c r="B711" s="9"/>
      <c r="C711" s="10"/>
      <c r="L711" s="10"/>
      <c r="P711" s="11"/>
      <c r="Q711" s="6"/>
    </row>
    <row r="712" spans="1:17" s="7" customFormat="1" ht="66" customHeight="1" x14ac:dyDescent="0.25">
      <c r="A712" s="8"/>
      <c r="B712" s="18" t="s">
        <v>237</v>
      </c>
      <c r="C712" s="19" t="str">
        <f>VLOOKUP($B712,[1]ORÇ_ANALITICO!$A$10:$K$137,2,0)</f>
        <v>15.007.0570-0</v>
      </c>
      <c r="D712" s="157" t="str">
        <f>VLOOKUP($C712,[1]ORÇ_ANALITICO!$B$10:$L$137,4,0)</f>
        <v>DISJUNTOR TERMOMAGNETICO,MONOPOLAR,DE 10 A 32A,3KA,MODELO DIN,TIPO C.FORNECIMENTO E COLOCACAO</v>
      </c>
      <c r="E712" s="157" t="e">
        <f>VLOOKUP(D712,[1]ORÇ_ANALITICO!C576:M675,2,0)</f>
        <v>#N/A</v>
      </c>
      <c r="F712" s="157" t="e">
        <f>VLOOKUP(E712,[1]ORÇ_ANALITICO!E576:N675,2,0)</f>
        <v>#N/A</v>
      </c>
      <c r="G712" s="157" t="e">
        <f>VLOOKUP(F712,[1]ORÇ_ANALITICO!F576:O675,2,0)</f>
        <v>#N/A</v>
      </c>
      <c r="H712" s="157" t="e">
        <f>VLOOKUP(G712,[1]ORÇ_ANALITICO!G576:P675,2,0)</f>
        <v>#N/A</v>
      </c>
      <c r="I712" s="157" t="e">
        <f>VLOOKUP(H712,[1]ORÇ_ANALITICO!H576:Q675,2,0)</f>
        <v>#N/A</v>
      </c>
      <c r="J712" s="157" t="e">
        <f>VLOOKUP(I712,[1]ORÇ_ANALITICO!I576:R675,2,0)</f>
        <v>#N/A</v>
      </c>
      <c r="K712" s="157" t="e">
        <f>VLOOKUP(J712,[1]ORÇ_ANALITICO!J576:S675,2,0)</f>
        <v>#N/A</v>
      </c>
      <c r="L712" s="157" t="e">
        <f>VLOOKUP(K712,[1]ORÇ_ANALITICO!K576:T675,2,0)</f>
        <v>#N/A</v>
      </c>
      <c r="M712" s="157" t="e">
        <f>VLOOKUP(L712,[1]ORÇ_ANALITICO!L576:U675,2,0)</f>
        <v>#N/A</v>
      </c>
      <c r="N712" s="157" t="e">
        <f>VLOOKUP(M712,[1]ORÇ_ANALITICO!M576:V675,2,0)</f>
        <v>#N/A</v>
      </c>
      <c r="O712" s="20" t="str">
        <f>VLOOKUP($C712,[1]ORÇ_ANALITICO!$B$10:$L$137,5,0)</f>
        <v>UN</v>
      </c>
      <c r="P712" s="20">
        <f>E719</f>
        <v>31</v>
      </c>
      <c r="Q712" s="6"/>
    </row>
    <row r="713" spans="1:17" s="7" customFormat="1" ht="66" customHeight="1" x14ac:dyDescent="0.25">
      <c r="A713" s="8"/>
      <c r="B713" s="9"/>
      <c r="C713" s="10"/>
      <c r="L713" s="10"/>
      <c r="P713" s="11"/>
      <c r="Q713" s="6"/>
    </row>
    <row r="714" spans="1:17" s="7" customFormat="1" ht="66" customHeight="1" x14ac:dyDescent="0.25">
      <c r="A714" s="8"/>
      <c r="B714" s="9"/>
      <c r="C714" s="32"/>
      <c r="D714" s="32"/>
      <c r="E714" s="24" t="s">
        <v>75</v>
      </c>
      <c r="F714" s="32"/>
      <c r="L714" s="10"/>
      <c r="P714" s="11"/>
      <c r="Q714" s="6"/>
    </row>
    <row r="715" spans="1:17" s="7" customFormat="1" ht="66" customHeight="1" x14ac:dyDescent="0.25">
      <c r="A715" s="8"/>
      <c r="B715" s="9"/>
      <c r="C715" s="32"/>
      <c r="D715" s="32"/>
      <c r="E715" s="32"/>
      <c r="F715" s="32"/>
      <c r="L715" s="10"/>
      <c r="P715" s="11"/>
      <c r="Q715" s="6"/>
    </row>
    <row r="716" spans="1:17" s="7" customFormat="1" ht="66" customHeight="1" x14ac:dyDescent="0.25">
      <c r="A716" s="8"/>
      <c r="B716" s="9"/>
      <c r="C716" s="89" t="s">
        <v>210</v>
      </c>
      <c r="D716" s="24" t="s">
        <v>12</v>
      </c>
      <c r="E716" s="32">
        <f>4+14</f>
        <v>18</v>
      </c>
      <c r="F716" s="32"/>
      <c r="L716" s="10"/>
      <c r="P716" s="11"/>
      <c r="Q716" s="6"/>
    </row>
    <row r="717" spans="1:17" s="7" customFormat="1" ht="66" customHeight="1" x14ac:dyDescent="0.25">
      <c r="A717" s="8"/>
      <c r="B717" s="9"/>
      <c r="C717" s="86" t="s">
        <v>214</v>
      </c>
      <c r="D717" s="24" t="s">
        <v>12</v>
      </c>
      <c r="E717" s="85">
        <f>3+10</f>
        <v>13</v>
      </c>
      <c r="F717" s="24"/>
      <c r="L717" s="10"/>
      <c r="P717" s="11"/>
      <c r="Q717" s="6"/>
    </row>
    <row r="718" spans="1:17" s="7" customFormat="1" ht="66" customHeight="1" x14ac:dyDescent="0.25">
      <c r="A718" s="8"/>
      <c r="B718" s="9"/>
      <c r="C718" s="32"/>
      <c r="D718" s="24"/>
      <c r="E718" s="32"/>
      <c r="F718" s="24"/>
      <c r="L718" s="10"/>
      <c r="P718" s="11"/>
      <c r="Q718" s="6"/>
    </row>
    <row r="719" spans="1:17" s="7" customFormat="1" ht="66" customHeight="1" x14ac:dyDescent="0.25">
      <c r="A719" s="8"/>
      <c r="B719" s="9"/>
      <c r="C719" s="87" t="s">
        <v>48</v>
      </c>
      <c r="D719" s="27" t="s">
        <v>12</v>
      </c>
      <c r="E719" s="87">
        <f>SUM(E716:E717)</f>
        <v>31</v>
      </c>
      <c r="F719" s="27" t="s">
        <v>77</v>
      </c>
      <c r="L719" s="10"/>
      <c r="P719" s="11"/>
      <c r="Q719" s="6"/>
    </row>
    <row r="720" spans="1:17" s="7" customFormat="1" ht="66" customHeight="1" x14ac:dyDescent="0.25">
      <c r="A720" s="8"/>
      <c r="B720" s="9"/>
      <c r="C720" s="10"/>
      <c r="L720" s="10"/>
      <c r="P720" s="11"/>
      <c r="Q720" s="6"/>
    </row>
    <row r="721" spans="1:17" s="7" customFormat="1" ht="66" customHeight="1" x14ac:dyDescent="0.25">
      <c r="A721" s="8"/>
      <c r="B721" s="18" t="s">
        <v>238</v>
      </c>
      <c r="C721" s="19" t="str">
        <f>VLOOKUP($B721,[1]ORÇ_ANALITICO!$A$10:$K$137,2,0)</f>
        <v>15.007.0576-0</v>
      </c>
      <c r="D721" s="157" t="str">
        <f>VLOOKUP($C721,[1]ORÇ_ANALITICO!$B$10:$L$137,4,0)</f>
        <v>DISJUNTOR TERMOMAGNETICO,BIPOLAR,DE 40 A 63A,3KA,MODELO DIN,TIPO C.FORNECIMENTO E COLOCACAO</v>
      </c>
      <c r="E721" s="157" t="e">
        <f>VLOOKUP(D721,[1]ORÇ_ANALITICO!C585:M684,2,0)</f>
        <v>#N/A</v>
      </c>
      <c r="F721" s="157" t="e">
        <f>VLOOKUP(E721,[1]ORÇ_ANALITICO!E585:N684,2,0)</f>
        <v>#N/A</v>
      </c>
      <c r="G721" s="157" t="e">
        <f>VLOOKUP(F721,[1]ORÇ_ANALITICO!F585:O684,2,0)</f>
        <v>#N/A</v>
      </c>
      <c r="H721" s="157" t="e">
        <f>VLOOKUP(G721,[1]ORÇ_ANALITICO!G585:P684,2,0)</f>
        <v>#N/A</v>
      </c>
      <c r="I721" s="157" t="e">
        <f>VLOOKUP(H721,[1]ORÇ_ANALITICO!H585:Q684,2,0)</f>
        <v>#N/A</v>
      </c>
      <c r="J721" s="157" t="e">
        <f>VLOOKUP(I721,[1]ORÇ_ANALITICO!I585:R684,2,0)</f>
        <v>#N/A</v>
      </c>
      <c r="K721" s="157" t="e">
        <f>VLOOKUP(J721,[1]ORÇ_ANALITICO!J585:S684,2,0)</f>
        <v>#N/A</v>
      </c>
      <c r="L721" s="157" t="e">
        <f>VLOOKUP(K721,[1]ORÇ_ANALITICO!K585:T684,2,0)</f>
        <v>#N/A</v>
      </c>
      <c r="M721" s="157" t="e">
        <f>VLOOKUP(L721,[1]ORÇ_ANALITICO!L585:U684,2,0)</f>
        <v>#N/A</v>
      </c>
      <c r="N721" s="157" t="e">
        <f>VLOOKUP(M721,[1]ORÇ_ANALITICO!M585:V684,2,0)</f>
        <v>#N/A</v>
      </c>
      <c r="O721" s="20" t="str">
        <f>VLOOKUP($C721,[1]ORÇ_ANALITICO!$B$10:$L$137,5,0)</f>
        <v>UN</v>
      </c>
      <c r="P721" s="20">
        <f>E732</f>
        <v>4</v>
      </c>
      <c r="Q721" s="6"/>
    </row>
    <row r="722" spans="1:17" s="7" customFormat="1" ht="66" customHeight="1" x14ac:dyDescent="0.25">
      <c r="A722" s="8"/>
      <c r="B722" s="43"/>
      <c r="C722" s="22"/>
      <c r="D722" s="44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31"/>
      <c r="P722" s="90"/>
      <c r="Q722" s="6"/>
    </row>
    <row r="723" spans="1:17" s="7" customFormat="1" ht="66" customHeight="1" x14ac:dyDescent="0.25">
      <c r="A723" s="8"/>
      <c r="B723" s="43"/>
      <c r="C723" s="22"/>
      <c r="D723" s="44"/>
      <c r="E723" s="22" t="s">
        <v>75</v>
      </c>
      <c r="F723" s="45"/>
      <c r="G723" s="45"/>
      <c r="H723" s="45"/>
      <c r="I723" s="45"/>
      <c r="J723" s="45"/>
      <c r="K723" s="45"/>
      <c r="L723" s="45"/>
      <c r="M723" s="45"/>
      <c r="N723" s="45"/>
      <c r="O723" s="31"/>
      <c r="P723" s="90"/>
      <c r="Q723" s="6"/>
    </row>
    <row r="724" spans="1:17" s="7" customFormat="1" ht="66" customHeight="1" x14ac:dyDescent="0.25">
      <c r="A724" s="8"/>
      <c r="B724" s="43"/>
      <c r="C724" s="22"/>
      <c r="D724" s="44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31"/>
      <c r="P724" s="90"/>
      <c r="Q724" s="6"/>
    </row>
    <row r="725" spans="1:17" s="7" customFormat="1" ht="66" customHeight="1" x14ac:dyDescent="0.25">
      <c r="A725" s="8"/>
      <c r="B725" s="43"/>
      <c r="C725" s="86" t="s">
        <v>210</v>
      </c>
      <c r="D725" s="85"/>
      <c r="E725" s="10"/>
      <c r="F725" s="10"/>
      <c r="G725" s="45"/>
      <c r="H725" s="45"/>
      <c r="I725" s="45"/>
      <c r="J725" s="45"/>
      <c r="K725" s="45"/>
      <c r="L725" s="45"/>
      <c r="M725" s="45"/>
      <c r="N725" s="45"/>
      <c r="O725" s="31"/>
      <c r="P725" s="90"/>
      <c r="Q725" s="6"/>
    </row>
    <row r="726" spans="1:17" s="7" customFormat="1" ht="66" customHeight="1" x14ac:dyDescent="0.25">
      <c r="A726" s="8"/>
      <c r="B726" s="43"/>
      <c r="C726" s="86" t="s">
        <v>239</v>
      </c>
      <c r="D726" s="91" t="s">
        <v>12</v>
      </c>
      <c r="E726" s="85">
        <v>1</v>
      </c>
      <c r="F726" s="24" t="s">
        <v>77</v>
      </c>
      <c r="G726" s="45"/>
      <c r="H726" s="45"/>
      <c r="I726" s="45"/>
      <c r="J726" s="45"/>
      <c r="K726" s="45"/>
      <c r="L726" s="45"/>
      <c r="M726" s="45"/>
      <c r="N726" s="45"/>
      <c r="O726" s="31"/>
      <c r="P726" s="90"/>
      <c r="Q726" s="6"/>
    </row>
    <row r="727" spans="1:17" s="7" customFormat="1" ht="66" customHeight="1" x14ac:dyDescent="0.25">
      <c r="A727" s="8"/>
      <c r="B727" s="43"/>
      <c r="C727" s="86" t="s">
        <v>240</v>
      </c>
      <c r="D727" s="91" t="s">
        <v>12</v>
      </c>
      <c r="E727" s="85">
        <v>1</v>
      </c>
      <c r="F727" s="24" t="s">
        <v>77</v>
      </c>
      <c r="G727" s="45"/>
      <c r="H727" s="45"/>
      <c r="I727" s="45"/>
      <c r="J727" s="45"/>
      <c r="K727" s="45"/>
      <c r="L727" s="45"/>
      <c r="M727" s="45"/>
      <c r="N727" s="45"/>
      <c r="O727" s="31"/>
      <c r="P727" s="90"/>
      <c r="Q727" s="6"/>
    </row>
    <row r="728" spans="1:17" s="7" customFormat="1" ht="66" customHeight="1" x14ac:dyDescent="0.25">
      <c r="A728" s="8"/>
      <c r="B728" s="43"/>
      <c r="C728" s="92" t="s">
        <v>214</v>
      </c>
      <c r="D728" s="85"/>
      <c r="E728" s="85"/>
      <c r="F728" s="24"/>
      <c r="G728" s="45"/>
      <c r="H728" s="45"/>
      <c r="I728" s="45"/>
      <c r="J728" s="45"/>
      <c r="K728" s="45"/>
      <c r="L728" s="45"/>
      <c r="M728" s="45"/>
      <c r="N728" s="45"/>
      <c r="O728" s="31"/>
      <c r="P728" s="90"/>
      <c r="Q728" s="6"/>
    </row>
    <row r="729" spans="1:17" s="7" customFormat="1" ht="66" customHeight="1" x14ac:dyDescent="0.25">
      <c r="A729" s="8"/>
      <c r="B729" s="43"/>
      <c r="C729" s="86" t="s">
        <v>241</v>
      </c>
      <c r="D729" s="91" t="s">
        <v>12</v>
      </c>
      <c r="E729" s="85">
        <v>1</v>
      </c>
      <c r="F729" s="24" t="s">
        <v>77</v>
      </c>
      <c r="G729" s="45"/>
      <c r="H729" s="45"/>
      <c r="I729" s="45"/>
      <c r="J729" s="45"/>
      <c r="K729" s="45"/>
      <c r="L729" s="45"/>
      <c r="M729" s="45"/>
      <c r="N729" s="45"/>
      <c r="O729" s="31"/>
      <c r="P729" s="90"/>
      <c r="Q729" s="6"/>
    </row>
    <row r="730" spans="1:17" s="7" customFormat="1" ht="66" customHeight="1" x14ac:dyDescent="0.25">
      <c r="A730" s="8"/>
      <c r="B730" s="43"/>
      <c r="C730" s="86" t="s">
        <v>242</v>
      </c>
      <c r="D730" s="91" t="s">
        <v>12</v>
      </c>
      <c r="E730" s="85">
        <v>1</v>
      </c>
      <c r="F730" s="24" t="s">
        <v>77</v>
      </c>
      <c r="G730" s="45"/>
      <c r="H730" s="45"/>
      <c r="I730" s="45"/>
      <c r="J730" s="45"/>
      <c r="K730" s="45"/>
      <c r="L730" s="45"/>
      <c r="M730" s="45"/>
      <c r="N730" s="45"/>
      <c r="O730" s="31"/>
      <c r="P730" s="90"/>
      <c r="Q730" s="6"/>
    </row>
    <row r="731" spans="1:17" s="7" customFormat="1" ht="66" customHeight="1" x14ac:dyDescent="0.25">
      <c r="A731" s="8"/>
      <c r="B731" s="43"/>
      <c r="C731" s="22"/>
      <c r="D731" s="47"/>
      <c r="E731" s="47"/>
      <c r="F731" s="22"/>
      <c r="G731" s="45"/>
      <c r="H731" s="45"/>
      <c r="I731" s="45"/>
      <c r="J731" s="45"/>
      <c r="K731" s="45"/>
      <c r="L731" s="45"/>
      <c r="M731" s="45"/>
      <c r="N731" s="45"/>
      <c r="O731" s="31"/>
      <c r="P731" s="90"/>
      <c r="Q731" s="6"/>
    </row>
    <row r="732" spans="1:17" s="7" customFormat="1" ht="66" customHeight="1" x14ac:dyDescent="0.25">
      <c r="A732" s="8"/>
      <c r="B732" s="43"/>
      <c r="C732" s="88" t="s">
        <v>48</v>
      </c>
      <c r="D732" s="87" t="s">
        <v>12</v>
      </c>
      <c r="E732" s="87">
        <f>SUM(E726:E730)</f>
        <v>4</v>
      </c>
      <c r="F732" s="27" t="s">
        <v>77</v>
      </c>
      <c r="G732" s="45"/>
      <c r="H732" s="45"/>
      <c r="I732" s="45"/>
      <c r="J732" s="45"/>
      <c r="K732" s="45"/>
      <c r="L732" s="45"/>
      <c r="M732" s="45"/>
      <c r="N732" s="45"/>
      <c r="O732" s="31"/>
      <c r="P732" s="90"/>
      <c r="Q732" s="6"/>
    </row>
    <row r="733" spans="1:17" s="7" customFormat="1" ht="66" customHeight="1" x14ac:dyDescent="0.25">
      <c r="A733" s="8"/>
      <c r="B733" s="43"/>
      <c r="C733" s="22"/>
      <c r="D733" s="44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31"/>
      <c r="P733" s="90"/>
      <c r="Q733" s="6"/>
    </row>
    <row r="734" spans="1:17" s="7" customFormat="1" ht="66" customHeight="1" x14ac:dyDescent="0.25">
      <c r="A734" s="8"/>
      <c r="B734" s="18" t="s">
        <v>243</v>
      </c>
      <c r="C734" s="19" t="str">
        <f>VLOOKUP($B734,[1]ORÇ_ANALITICO!$A$10:$K$137,2,0)</f>
        <v>15.007.0605-0</v>
      </c>
      <c r="D734" s="157" t="str">
        <f>VLOOKUP($C734,[1]ORÇ_ANALITICO!$B$10:$L$137,4,0)</f>
        <v>DISJUNTOR TERMOMAGNETICO,TRIPOLAR,DE 80 A 100A,3KA,MODELO DIN,TIPO C.FORNECIMENTO E COLOCACAO</v>
      </c>
      <c r="E734" s="157" t="e">
        <f>VLOOKUP(D734,[1]ORÇ_ANALITICO!C598:M697,2,0)</f>
        <v>#N/A</v>
      </c>
      <c r="F734" s="157" t="e">
        <f>VLOOKUP(E734,[1]ORÇ_ANALITICO!E598:N697,2,0)</f>
        <v>#N/A</v>
      </c>
      <c r="G734" s="157" t="e">
        <f>VLOOKUP(F734,[1]ORÇ_ANALITICO!F598:O697,2,0)</f>
        <v>#N/A</v>
      </c>
      <c r="H734" s="157" t="e">
        <f>VLOOKUP(G734,[1]ORÇ_ANALITICO!G598:P697,2,0)</f>
        <v>#N/A</v>
      </c>
      <c r="I734" s="157" t="e">
        <f>VLOOKUP(H734,[1]ORÇ_ANALITICO!H598:Q697,2,0)</f>
        <v>#N/A</v>
      </c>
      <c r="J734" s="157" t="e">
        <f>VLOOKUP(I734,[1]ORÇ_ANALITICO!I598:R697,2,0)</f>
        <v>#N/A</v>
      </c>
      <c r="K734" s="157" t="e">
        <f>VLOOKUP(J734,[1]ORÇ_ANALITICO!J598:S697,2,0)</f>
        <v>#N/A</v>
      </c>
      <c r="L734" s="157" t="e">
        <f>VLOOKUP(K734,[1]ORÇ_ANALITICO!K598:T697,2,0)</f>
        <v>#N/A</v>
      </c>
      <c r="M734" s="157" t="e">
        <f>VLOOKUP(L734,[1]ORÇ_ANALITICO!L598:U697,2,0)</f>
        <v>#N/A</v>
      </c>
      <c r="N734" s="157" t="e">
        <f>VLOOKUP(M734,[1]ORÇ_ANALITICO!M598:V697,2,0)</f>
        <v>#N/A</v>
      </c>
      <c r="O734" s="20" t="str">
        <f>VLOOKUP($C734,[1]ORÇ_ANALITICO!$B$10:$L$137,5,0)</f>
        <v>UN</v>
      </c>
      <c r="P734" s="20">
        <f>E738</f>
        <v>1</v>
      </c>
      <c r="Q734" s="6"/>
    </row>
    <row r="735" spans="1:17" s="7" customFormat="1" ht="66" customHeight="1" x14ac:dyDescent="0.25">
      <c r="A735" s="8"/>
      <c r="B735" s="43"/>
      <c r="C735" s="22"/>
      <c r="D735" s="44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31"/>
      <c r="P735" s="90"/>
      <c r="Q735" s="6"/>
    </row>
    <row r="736" spans="1:17" s="7" customFormat="1" ht="66" customHeight="1" x14ac:dyDescent="0.25">
      <c r="A736" s="8"/>
      <c r="B736" s="43"/>
      <c r="C736" s="22"/>
      <c r="D736" s="44"/>
      <c r="E736" s="22" t="s">
        <v>75</v>
      </c>
      <c r="F736" s="45"/>
      <c r="G736" s="45"/>
      <c r="H736" s="45"/>
      <c r="I736" s="45"/>
      <c r="J736" s="45"/>
      <c r="K736" s="45"/>
      <c r="L736" s="45"/>
      <c r="M736" s="45"/>
      <c r="N736" s="45"/>
      <c r="O736" s="31"/>
      <c r="P736" s="90"/>
      <c r="Q736" s="6"/>
    </row>
    <row r="737" spans="1:17" s="7" customFormat="1" ht="66" customHeight="1" x14ac:dyDescent="0.25">
      <c r="A737" s="8"/>
      <c r="B737" s="43"/>
      <c r="C737" s="22"/>
      <c r="D737" s="44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31"/>
      <c r="P737" s="90"/>
      <c r="Q737" s="6"/>
    </row>
    <row r="738" spans="1:17" s="7" customFormat="1" ht="66" customHeight="1" x14ac:dyDescent="0.25">
      <c r="A738" s="8"/>
      <c r="B738" s="43"/>
      <c r="C738" s="86" t="s">
        <v>214</v>
      </c>
      <c r="D738" s="91" t="s">
        <v>12</v>
      </c>
      <c r="E738" s="10">
        <v>1</v>
      </c>
      <c r="F738" s="51" t="s">
        <v>77</v>
      </c>
      <c r="G738" s="45"/>
      <c r="H738" s="45"/>
      <c r="I738" s="45"/>
      <c r="J738" s="45"/>
      <c r="K738" s="45"/>
      <c r="L738" s="45"/>
      <c r="M738" s="45"/>
      <c r="N738" s="45"/>
      <c r="O738" s="31"/>
      <c r="P738" s="90"/>
      <c r="Q738" s="6"/>
    </row>
    <row r="739" spans="1:17" s="7" customFormat="1" ht="66" customHeight="1" x14ac:dyDescent="0.25">
      <c r="A739" s="8"/>
      <c r="B739" s="43"/>
      <c r="C739" s="22"/>
      <c r="D739" s="44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31"/>
      <c r="P739" s="90"/>
      <c r="Q739" s="6"/>
    </row>
    <row r="740" spans="1:17" s="7" customFormat="1" ht="66" customHeight="1" x14ac:dyDescent="0.25">
      <c r="A740" s="8"/>
      <c r="B740" s="18" t="s">
        <v>244</v>
      </c>
      <c r="C740" s="19" t="str">
        <f>VLOOKUP($B740,[1]ORÇ_ANALITICO!$A$10:$K$137,2,0)</f>
        <v>15.007.0608-0</v>
      </c>
      <c r="D740" s="157" t="str">
        <f>VLOOKUP($C740,[1]ORÇ_ANALITICO!$B$10:$L$137,4,0)</f>
        <v>DISJUNTOR TERMOMAGNETICO,TRIPOLAR,DE 125 A 160A,50KA,MODELOCAIXA MOLDADA,TIPO C.FORNECIMENTO E COLOCACAO</v>
      </c>
      <c r="E740" s="157" t="e">
        <f>VLOOKUP(D740,[1]ORÇ_ANALITICO!C604:M703,2,0)</f>
        <v>#N/A</v>
      </c>
      <c r="F740" s="157" t="e">
        <f>VLOOKUP(E740,[1]ORÇ_ANALITICO!E604:N703,2,0)</f>
        <v>#N/A</v>
      </c>
      <c r="G740" s="157" t="e">
        <f>VLOOKUP(F740,[1]ORÇ_ANALITICO!F604:O703,2,0)</f>
        <v>#N/A</v>
      </c>
      <c r="H740" s="157" t="e">
        <f>VLOOKUP(G740,[1]ORÇ_ANALITICO!G604:P703,2,0)</f>
        <v>#N/A</v>
      </c>
      <c r="I740" s="157" t="e">
        <f>VLOOKUP(H740,[1]ORÇ_ANALITICO!H604:Q703,2,0)</f>
        <v>#N/A</v>
      </c>
      <c r="J740" s="157" t="e">
        <f>VLOOKUP(I740,[1]ORÇ_ANALITICO!I604:R703,2,0)</f>
        <v>#N/A</v>
      </c>
      <c r="K740" s="157" t="e">
        <f>VLOOKUP(J740,[1]ORÇ_ANALITICO!J604:S703,2,0)</f>
        <v>#N/A</v>
      </c>
      <c r="L740" s="157" t="e">
        <f>VLOOKUP(K740,[1]ORÇ_ANALITICO!K604:T703,2,0)</f>
        <v>#N/A</v>
      </c>
      <c r="M740" s="157" t="e">
        <f>VLOOKUP(L740,[1]ORÇ_ANALITICO!L604:U703,2,0)</f>
        <v>#N/A</v>
      </c>
      <c r="N740" s="157" t="e">
        <f>VLOOKUP(M740,[1]ORÇ_ANALITICO!M604:V703,2,0)</f>
        <v>#N/A</v>
      </c>
      <c r="O740" s="20" t="str">
        <f>VLOOKUP($C740,[1]ORÇ_ANALITICO!$B$10:$L$137,5,0)</f>
        <v>UN</v>
      </c>
      <c r="P740" s="20">
        <f>E746</f>
        <v>2</v>
      </c>
      <c r="Q740" s="6"/>
    </row>
    <row r="741" spans="1:17" s="7" customFormat="1" ht="66" customHeight="1" x14ac:dyDescent="0.25">
      <c r="A741" s="8"/>
      <c r="B741" s="43"/>
      <c r="C741" s="22"/>
      <c r="D741" s="44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31"/>
      <c r="P741" s="90"/>
      <c r="Q741" s="6"/>
    </row>
    <row r="742" spans="1:17" s="7" customFormat="1" ht="66" customHeight="1" x14ac:dyDescent="0.25">
      <c r="A742" s="8"/>
      <c r="B742" s="43"/>
      <c r="C742" s="22"/>
      <c r="D742" s="44"/>
      <c r="E742" s="22" t="s">
        <v>75</v>
      </c>
      <c r="F742" s="45"/>
      <c r="G742" s="45"/>
      <c r="H742" s="45"/>
      <c r="I742" s="45"/>
      <c r="J742" s="45"/>
      <c r="K742" s="45"/>
      <c r="L742" s="45"/>
      <c r="M742" s="45"/>
      <c r="N742" s="45"/>
      <c r="O742" s="31"/>
      <c r="P742" s="90"/>
      <c r="Q742" s="6"/>
    </row>
    <row r="743" spans="1:17" s="7" customFormat="1" ht="66" customHeight="1" x14ac:dyDescent="0.25">
      <c r="A743" s="8"/>
      <c r="B743" s="43"/>
      <c r="C743" s="22"/>
      <c r="D743" s="44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31"/>
      <c r="P743" s="90"/>
      <c r="Q743" s="6"/>
    </row>
    <row r="744" spans="1:17" s="7" customFormat="1" ht="66" customHeight="1" x14ac:dyDescent="0.25">
      <c r="A744" s="8"/>
      <c r="B744" s="43"/>
      <c r="C744" s="86" t="s">
        <v>210</v>
      </c>
      <c r="D744" s="91" t="s">
        <v>12</v>
      </c>
      <c r="E744" s="10">
        <v>1</v>
      </c>
      <c r="F744" s="51" t="s">
        <v>77</v>
      </c>
      <c r="G744" s="45"/>
      <c r="H744" s="45"/>
      <c r="I744" s="45"/>
      <c r="J744" s="45"/>
      <c r="K744" s="45"/>
      <c r="L744" s="45"/>
      <c r="M744" s="45"/>
      <c r="N744" s="45"/>
      <c r="O744" s="31"/>
      <c r="P744" s="90"/>
      <c r="Q744" s="6"/>
    </row>
    <row r="745" spans="1:17" s="7" customFormat="1" ht="66" customHeight="1" x14ac:dyDescent="0.25">
      <c r="A745" s="8"/>
      <c r="B745" s="43"/>
      <c r="C745" s="86" t="s">
        <v>245</v>
      </c>
      <c r="D745" s="91" t="s">
        <v>12</v>
      </c>
      <c r="E745" s="10">
        <v>1</v>
      </c>
      <c r="F745" s="51" t="s">
        <v>77</v>
      </c>
      <c r="G745" s="45"/>
      <c r="H745" s="45"/>
      <c r="I745" s="45"/>
      <c r="J745" s="45"/>
      <c r="K745" s="45"/>
      <c r="L745" s="45"/>
      <c r="M745" s="45"/>
      <c r="N745" s="45"/>
      <c r="O745" s="31"/>
      <c r="P745" s="90"/>
      <c r="Q745" s="6"/>
    </row>
    <row r="746" spans="1:17" s="7" customFormat="1" ht="66" customHeight="1" x14ac:dyDescent="0.25">
      <c r="A746" s="8"/>
      <c r="B746" s="43"/>
      <c r="C746" s="22"/>
      <c r="D746" s="91" t="s">
        <v>12</v>
      </c>
      <c r="E746" s="22">
        <f>E744+E745</f>
        <v>2</v>
      </c>
      <c r="F746" s="51" t="s">
        <v>77</v>
      </c>
      <c r="G746" s="45"/>
      <c r="H746" s="45"/>
      <c r="I746" s="45"/>
      <c r="J746" s="45"/>
      <c r="K746" s="45"/>
      <c r="L746" s="45"/>
      <c r="M746" s="45"/>
      <c r="N746" s="45"/>
      <c r="O746" s="31"/>
      <c r="P746" s="90"/>
      <c r="Q746" s="6"/>
    </row>
    <row r="747" spans="1:17" s="7" customFormat="1" ht="66" customHeight="1" x14ac:dyDescent="0.25">
      <c r="A747" s="8"/>
      <c r="B747" s="43"/>
      <c r="C747" s="22"/>
      <c r="D747" s="44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31"/>
      <c r="P747" s="90"/>
      <c r="Q747" s="6"/>
    </row>
    <row r="748" spans="1:17" s="7" customFormat="1" ht="66" customHeight="1" x14ac:dyDescent="0.25">
      <c r="A748" s="8"/>
      <c r="B748" s="18" t="s">
        <v>246</v>
      </c>
      <c r="C748" s="19">
        <f>VLOOKUP($B748,[1]ORÇ_ANALITICO!$A$10:$K$137,2,0)</f>
        <v>101880</v>
      </c>
      <c r="D748" s="157" t="str">
        <f>VLOOKUP($C748,[1]ORÇ_ANALITICO!$B$10:$L$137,4,0)</f>
        <v>QUADRO DE DISTRIBUIÇÃO DE ENERGIA EM CHAPA DE AÇO GALVANIZADO, DE EMBUTIR, COM BARRAMENTO TRIFÁSICO, PARA 30 DISJUNTORES DIN 150A - FORNECIMENTO E INSTALAÇÃO. AF_10/2020</v>
      </c>
      <c r="E748" s="157" t="e">
        <f>VLOOKUP(D748,[1]ORÇ_ANALITICO!C612:M711,2,0)</f>
        <v>#N/A</v>
      </c>
      <c r="F748" s="157" t="e">
        <f>VLOOKUP(E748,[1]ORÇ_ANALITICO!E612:N711,2,0)</f>
        <v>#N/A</v>
      </c>
      <c r="G748" s="157" t="e">
        <f>VLOOKUP(F748,[1]ORÇ_ANALITICO!F612:O711,2,0)</f>
        <v>#N/A</v>
      </c>
      <c r="H748" s="157" t="e">
        <f>VLOOKUP(G748,[1]ORÇ_ANALITICO!G612:P711,2,0)</f>
        <v>#N/A</v>
      </c>
      <c r="I748" s="157" t="e">
        <f>VLOOKUP(H748,[1]ORÇ_ANALITICO!H612:Q711,2,0)</f>
        <v>#N/A</v>
      </c>
      <c r="J748" s="157" t="e">
        <f>VLOOKUP(I748,[1]ORÇ_ANALITICO!I612:R711,2,0)</f>
        <v>#N/A</v>
      </c>
      <c r="K748" s="157" t="e">
        <f>VLOOKUP(J748,[1]ORÇ_ANALITICO!J612:S711,2,0)</f>
        <v>#N/A</v>
      </c>
      <c r="L748" s="157" t="e">
        <f>VLOOKUP(K748,[1]ORÇ_ANALITICO!K612:T711,2,0)</f>
        <v>#N/A</v>
      </c>
      <c r="M748" s="157" t="e">
        <f>VLOOKUP(L748,[1]ORÇ_ANALITICO!L612:U711,2,0)</f>
        <v>#N/A</v>
      </c>
      <c r="N748" s="157" t="e">
        <f>VLOOKUP(M748,[1]ORÇ_ANALITICO!M612:V711,2,0)</f>
        <v>#N/A</v>
      </c>
      <c r="O748" s="20" t="str">
        <f>VLOOKUP($C748,[1]ORÇ_ANALITICO!$B$10:$L$137,5,0)</f>
        <v>UN</v>
      </c>
      <c r="P748" s="20">
        <f>E752</f>
        <v>1</v>
      </c>
      <c r="Q748" s="6"/>
    </row>
    <row r="749" spans="1:17" s="7" customFormat="1" ht="66" customHeight="1" x14ac:dyDescent="0.25">
      <c r="A749" s="8"/>
      <c r="B749" s="43"/>
      <c r="C749" s="22"/>
      <c r="D749" s="44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31"/>
      <c r="P749" s="90"/>
      <c r="Q749" s="6"/>
    </row>
    <row r="750" spans="1:17" s="7" customFormat="1" ht="66" customHeight="1" x14ac:dyDescent="0.25">
      <c r="A750" s="8"/>
      <c r="B750" s="43"/>
      <c r="C750" s="22"/>
      <c r="D750" s="44"/>
      <c r="E750" s="22" t="s">
        <v>75</v>
      </c>
      <c r="F750" s="45"/>
      <c r="G750" s="45"/>
      <c r="H750" s="45"/>
      <c r="I750" s="45"/>
      <c r="J750" s="45"/>
      <c r="K750" s="45"/>
      <c r="L750" s="45"/>
      <c r="M750" s="45"/>
      <c r="N750" s="45"/>
      <c r="O750" s="31"/>
      <c r="P750" s="90"/>
      <c r="Q750" s="6"/>
    </row>
    <row r="751" spans="1:17" s="7" customFormat="1" ht="66" customHeight="1" x14ac:dyDescent="0.25">
      <c r="A751" s="8"/>
      <c r="B751" s="43"/>
      <c r="C751" s="22"/>
      <c r="D751" s="44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31"/>
      <c r="P751" s="90"/>
      <c r="Q751" s="6"/>
    </row>
    <row r="752" spans="1:17" s="7" customFormat="1" ht="66" customHeight="1" x14ac:dyDescent="0.25">
      <c r="A752" s="8"/>
      <c r="B752" s="43"/>
      <c r="C752" s="86" t="s">
        <v>210</v>
      </c>
      <c r="D752" s="91" t="s">
        <v>12</v>
      </c>
      <c r="E752" s="10">
        <v>1</v>
      </c>
      <c r="F752" s="51" t="s">
        <v>77</v>
      </c>
      <c r="G752" s="45"/>
      <c r="H752" s="45"/>
      <c r="I752" s="45"/>
      <c r="J752" s="45"/>
      <c r="K752" s="45"/>
      <c r="L752" s="45"/>
      <c r="M752" s="45"/>
      <c r="N752" s="45"/>
      <c r="O752" s="31"/>
      <c r="P752" s="90"/>
      <c r="Q752" s="6"/>
    </row>
    <row r="753" spans="1:17" s="7" customFormat="1" ht="66" customHeight="1" x14ac:dyDescent="0.25">
      <c r="A753" s="8"/>
      <c r="B753" s="43"/>
      <c r="C753" s="22"/>
      <c r="D753" s="44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31"/>
      <c r="P753" s="90"/>
      <c r="Q753" s="6"/>
    </row>
    <row r="754" spans="1:17" s="7" customFormat="1" ht="66" customHeight="1" x14ac:dyDescent="0.25">
      <c r="A754" s="8"/>
      <c r="B754" s="18" t="s">
        <v>247</v>
      </c>
      <c r="C754" s="19">
        <f>VLOOKUP($B754,[1]ORÇ_ANALITICO!$A$10:$K$137,2,0)</f>
        <v>101879</v>
      </c>
      <c r="D754" s="157" t="str">
        <f>VLOOKUP($C754,[1]ORÇ_ANALITICO!$B$10:$L$137,4,0)</f>
        <v>QUADRO DE DISTRIBUIÇÃO DE ENERGIA EM CHAPA DE AÇO GALVANIZADO, DE EMBUTIR, COM BARRAMENTO TRIFÁSICO, PARA 24 DISJUNTORES DIN 100A - FORNECIMENTO E INSTALAÇÃO. AF_10/2020</v>
      </c>
      <c r="E754" s="157" t="e">
        <f>VLOOKUP(D754,[1]ORÇ_ANALITICO!C618:M717,2,0)</f>
        <v>#N/A</v>
      </c>
      <c r="F754" s="157" t="e">
        <f>VLOOKUP(E754,[1]ORÇ_ANALITICO!E618:N717,2,0)</f>
        <v>#N/A</v>
      </c>
      <c r="G754" s="157" t="e">
        <f>VLOOKUP(F754,[1]ORÇ_ANALITICO!F618:O717,2,0)</f>
        <v>#N/A</v>
      </c>
      <c r="H754" s="157" t="e">
        <f>VLOOKUP(G754,[1]ORÇ_ANALITICO!G618:P717,2,0)</f>
        <v>#N/A</v>
      </c>
      <c r="I754" s="157" t="e">
        <f>VLOOKUP(H754,[1]ORÇ_ANALITICO!H618:Q717,2,0)</f>
        <v>#N/A</v>
      </c>
      <c r="J754" s="157" t="e">
        <f>VLOOKUP(I754,[1]ORÇ_ANALITICO!I618:R717,2,0)</f>
        <v>#N/A</v>
      </c>
      <c r="K754" s="157" t="e">
        <f>VLOOKUP(J754,[1]ORÇ_ANALITICO!J618:S717,2,0)</f>
        <v>#N/A</v>
      </c>
      <c r="L754" s="157" t="e">
        <f>VLOOKUP(K754,[1]ORÇ_ANALITICO!K618:T717,2,0)</f>
        <v>#N/A</v>
      </c>
      <c r="M754" s="157" t="e">
        <f>VLOOKUP(L754,[1]ORÇ_ANALITICO!L618:U717,2,0)</f>
        <v>#N/A</v>
      </c>
      <c r="N754" s="157" t="e">
        <f>VLOOKUP(M754,[1]ORÇ_ANALITICO!M618:V717,2,0)</f>
        <v>#N/A</v>
      </c>
      <c r="O754" s="20" t="str">
        <f>VLOOKUP($C754,[1]ORÇ_ANALITICO!$B$10:$L$137,5,0)</f>
        <v>UN</v>
      </c>
      <c r="P754" s="20">
        <f>E758</f>
        <v>1</v>
      </c>
      <c r="Q754" s="6"/>
    </row>
    <row r="755" spans="1:17" s="7" customFormat="1" ht="66" customHeight="1" x14ac:dyDescent="0.25">
      <c r="A755" s="8"/>
      <c r="B755" s="43"/>
      <c r="C755" s="22"/>
      <c r="D755" s="44"/>
      <c r="E755" s="45"/>
      <c r="F755" s="45"/>
      <c r="L755" s="10"/>
      <c r="P755" s="11"/>
      <c r="Q755" s="6"/>
    </row>
    <row r="756" spans="1:17" s="7" customFormat="1" ht="66" customHeight="1" x14ac:dyDescent="0.25">
      <c r="A756" s="8"/>
      <c r="B756" s="43"/>
      <c r="C756" s="22"/>
      <c r="D756" s="44"/>
      <c r="E756" s="22" t="s">
        <v>75</v>
      </c>
      <c r="F756" s="45"/>
      <c r="L756" s="10"/>
      <c r="P756" s="11"/>
      <c r="Q756" s="6"/>
    </row>
    <row r="757" spans="1:17" s="7" customFormat="1" ht="66" customHeight="1" x14ac:dyDescent="0.25">
      <c r="A757" s="8"/>
      <c r="B757" s="43"/>
      <c r="C757" s="22"/>
      <c r="D757" s="44"/>
      <c r="E757" s="45"/>
      <c r="F757" s="45"/>
      <c r="L757" s="10"/>
      <c r="P757" s="11"/>
      <c r="Q757" s="6"/>
    </row>
    <row r="758" spans="1:17" s="7" customFormat="1" ht="66" customHeight="1" x14ac:dyDescent="0.25">
      <c r="A758" s="8"/>
      <c r="B758" s="43"/>
      <c r="C758" s="86" t="s">
        <v>214</v>
      </c>
      <c r="D758" s="91" t="s">
        <v>12</v>
      </c>
      <c r="E758" s="10">
        <v>1</v>
      </c>
      <c r="F758" s="51" t="s">
        <v>77</v>
      </c>
      <c r="L758" s="10"/>
      <c r="P758" s="11"/>
      <c r="Q758" s="6"/>
    </row>
    <row r="759" spans="1:17" s="7" customFormat="1" ht="66" customHeight="1" x14ac:dyDescent="0.25">
      <c r="A759" s="8"/>
      <c r="B759" s="43"/>
      <c r="C759" s="22"/>
      <c r="D759" s="44"/>
      <c r="E759" s="45"/>
      <c r="F759" s="45"/>
      <c r="L759" s="10"/>
      <c r="P759" s="11"/>
      <c r="Q759" s="6"/>
    </row>
    <row r="760" spans="1:17" s="7" customFormat="1" ht="66" customHeight="1" x14ac:dyDescent="0.25">
      <c r="A760" s="8"/>
      <c r="B760" s="18" t="s">
        <v>248</v>
      </c>
      <c r="C760" s="19" t="str">
        <f>VLOOKUP($B760,[1]ORÇ_ANALITICO!$A$10:$K$137,2,0)</f>
        <v>15.019.0090-0</v>
      </c>
      <c r="D760" s="157" t="str">
        <f>VLOOKUP($C760,[1]ORÇ_ANALITICO!$B$10:$L$137,4,0)</f>
        <v>TOMADA TIPO RJ45,DE SOBREPOR,COMPLETA,PARA LOGICA.FORNECIMENTO E COLOCACAO</v>
      </c>
      <c r="E760" s="157" t="e">
        <f>VLOOKUP(D760,[1]ORÇ_ANALITICO!C624:M723,2,0)</f>
        <v>#N/A</v>
      </c>
      <c r="F760" s="157" t="e">
        <f>VLOOKUP(E760,[1]ORÇ_ANALITICO!E624:N723,2,0)</f>
        <v>#N/A</v>
      </c>
      <c r="G760" s="157" t="e">
        <f>VLOOKUP(F760,[1]ORÇ_ANALITICO!F624:O723,2,0)</f>
        <v>#N/A</v>
      </c>
      <c r="H760" s="157" t="e">
        <f>VLOOKUP(G760,[1]ORÇ_ANALITICO!G624:P723,2,0)</f>
        <v>#N/A</v>
      </c>
      <c r="I760" s="157" t="e">
        <f>VLOOKUP(H760,[1]ORÇ_ANALITICO!H624:Q723,2,0)</f>
        <v>#N/A</v>
      </c>
      <c r="J760" s="157" t="e">
        <f>VLOOKUP(I760,[1]ORÇ_ANALITICO!I624:R723,2,0)</f>
        <v>#N/A</v>
      </c>
      <c r="K760" s="157" t="e">
        <f>VLOOKUP(J760,[1]ORÇ_ANALITICO!J624:S723,2,0)</f>
        <v>#N/A</v>
      </c>
      <c r="L760" s="157" t="e">
        <f>VLOOKUP(K760,[1]ORÇ_ANALITICO!K624:T723,2,0)</f>
        <v>#N/A</v>
      </c>
      <c r="M760" s="157" t="e">
        <f>VLOOKUP(L760,[1]ORÇ_ANALITICO!L624:U723,2,0)</f>
        <v>#N/A</v>
      </c>
      <c r="N760" s="157" t="e">
        <f>VLOOKUP(M760,[1]ORÇ_ANALITICO!M624:V723,2,0)</f>
        <v>#N/A</v>
      </c>
      <c r="O760" s="20" t="str">
        <f>VLOOKUP($C760,[1]ORÇ_ANALITICO!$B$10:$L$137,5,0)</f>
        <v>UN</v>
      </c>
      <c r="P760" s="20">
        <f>E765</f>
        <v>1</v>
      </c>
      <c r="Q760" s="6"/>
    </row>
    <row r="761" spans="1:17" s="7" customFormat="1" ht="66" customHeight="1" x14ac:dyDescent="0.25">
      <c r="A761" s="8"/>
      <c r="B761" s="9"/>
      <c r="C761" s="10"/>
      <c r="L761" s="10"/>
      <c r="P761" s="11"/>
      <c r="Q761" s="6"/>
    </row>
    <row r="762" spans="1:17" s="7" customFormat="1" ht="66" customHeight="1" x14ac:dyDescent="0.25">
      <c r="A762" s="8"/>
      <c r="B762" s="9"/>
      <c r="C762" s="10"/>
      <c r="E762" s="22" t="s">
        <v>75</v>
      </c>
      <c r="L762" s="10"/>
      <c r="P762" s="11"/>
      <c r="Q762" s="6"/>
    </row>
    <row r="763" spans="1:17" s="7" customFormat="1" ht="66" customHeight="1" x14ac:dyDescent="0.25">
      <c r="A763" s="8"/>
      <c r="B763" s="9"/>
      <c r="C763" s="10"/>
      <c r="L763" s="10"/>
      <c r="P763" s="11"/>
      <c r="Q763" s="6"/>
    </row>
    <row r="764" spans="1:17" s="7" customFormat="1" ht="66" customHeight="1" x14ac:dyDescent="0.25">
      <c r="A764" s="8"/>
      <c r="B764" s="9"/>
      <c r="C764" s="93" t="s">
        <v>210</v>
      </c>
      <c r="D764" s="94"/>
      <c r="E764" s="10"/>
      <c r="F764" s="10"/>
      <c r="L764" s="10"/>
      <c r="P764" s="11"/>
      <c r="Q764" s="6"/>
    </row>
    <row r="765" spans="1:17" s="7" customFormat="1" ht="66" customHeight="1" x14ac:dyDescent="0.25">
      <c r="A765" s="8"/>
      <c r="B765" s="9"/>
      <c r="C765" s="92" t="s">
        <v>249</v>
      </c>
      <c r="D765" s="51" t="s">
        <v>12</v>
      </c>
      <c r="E765" s="95">
        <v>1</v>
      </c>
      <c r="F765" s="96" t="s">
        <v>77</v>
      </c>
      <c r="L765" s="10"/>
      <c r="P765" s="11"/>
      <c r="Q765" s="6"/>
    </row>
    <row r="766" spans="1:17" s="7" customFormat="1" ht="66" customHeight="1" x14ac:dyDescent="0.25">
      <c r="A766" s="8"/>
      <c r="B766" s="9"/>
      <c r="L766" s="10"/>
      <c r="P766" s="11"/>
      <c r="Q766" s="6"/>
    </row>
    <row r="767" spans="1:17" s="7" customFormat="1" ht="66" customHeight="1" x14ac:dyDescent="0.25">
      <c r="A767" s="8"/>
      <c r="B767" s="18" t="s">
        <v>250</v>
      </c>
      <c r="C767" s="19" t="str">
        <f>VLOOKUP($B767,[1]ORÇ_ANALITICO!$A$10:$K$137,2,0)</f>
        <v>15.019.0110-0</v>
      </c>
      <c r="D767" s="157" t="str">
        <f>VLOOKUP($C767,[1]ORÇ_ANALITICO!$B$10:$L$137,4,0)</f>
        <v>TOMADA COAXIAL,DE EMBUTIR,COMPLETA,PARA ANTENA DE TV.FORNECIMENTO E COLOCACAO</v>
      </c>
      <c r="E767" s="157" t="e">
        <f>VLOOKUP(D767,[1]ORÇ_ANALITICO!C631:M730,2,0)</f>
        <v>#N/A</v>
      </c>
      <c r="F767" s="157" t="e">
        <f>VLOOKUP(E767,[1]ORÇ_ANALITICO!E631:N730,2,0)</f>
        <v>#N/A</v>
      </c>
      <c r="G767" s="157" t="e">
        <f>VLOOKUP(F767,[1]ORÇ_ANALITICO!F631:O730,2,0)</f>
        <v>#N/A</v>
      </c>
      <c r="H767" s="157" t="e">
        <f>VLOOKUP(G767,[1]ORÇ_ANALITICO!G631:P730,2,0)</f>
        <v>#N/A</v>
      </c>
      <c r="I767" s="157" t="e">
        <f>VLOOKUP(H767,[1]ORÇ_ANALITICO!H631:Q730,2,0)</f>
        <v>#N/A</v>
      </c>
      <c r="J767" s="157" t="e">
        <f>VLOOKUP(I767,[1]ORÇ_ANALITICO!I631:R730,2,0)</f>
        <v>#N/A</v>
      </c>
      <c r="K767" s="157" t="e">
        <f>VLOOKUP(J767,[1]ORÇ_ANALITICO!J631:S730,2,0)</f>
        <v>#N/A</v>
      </c>
      <c r="L767" s="157" t="e">
        <f>VLOOKUP(K767,[1]ORÇ_ANALITICO!K631:T730,2,0)</f>
        <v>#N/A</v>
      </c>
      <c r="M767" s="157" t="e">
        <f>VLOOKUP(L767,[1]ORÇ_ANALITICO!L631:U730,2,0)</f>
        <v>#N/A</v>
      </c>
      <c r="N767" s="157" t="e">
        <f>VLOOKUP(M767,[1]ORÇ_ANALITICO!M631:V730,2,0)</f>
        <v>#N/A</v>
      </c>
      <c r="O767" s="20" t="str">
        <f>VLOOKUP($C767,[1]ORÇ_ANALITICO!$B$10:$L$137,5,0)</f>
        <v>UN</v>
      </c>
      <c r="P767" s="20">
        <f>E772</f>
        <v>1</v>
      </c>
      <c r="Q767" s="6"/>
    </row>
    <row r="768" spans="1:17" s="7" customFormat="1" ht="66" customHeight="1" x14ac:dyDescent="0.25">
      <c r="A768" s="8"/>
      <c r="B768" s="9"/>
      <c r="L768" s="10"/>
      <c r="P768" s="11"/>
      <c r="Q768" s="6"/>
    </row>
    <row r="769" spans="1:17" s="7" customFormat="1" ht="66" customHeight="1" x14ac:dyDescent="0.25">
      <c r="A769" s="8"/>
      <c r="B769" s="9"/>
      <c r="C769" s="10"/>
      <c r="E769" s="22" t="s">
        <v>75</v>
      </c>
      <c r="L769" s="10"/>
      <c r="P769" s="11"/>
      <c r="Q769" s="6"/>
    </row>
    <row r="770" spans="1:17" s="7" customFormat="1" ht="66" customHeight="1" x14ac:dyDescent="0.25">
      <c r="A770" s="8"/>
      <c r="B770" s="9"/>
      <c r="C770" s="10"/>
      <c r="L770" s="10"/>
      <c r="P770" s="11"/>
      <c r="Q770" s="6"/>
    </row>
    <row r="771" spans="1:17" s="7" customFormat="1" ht="66" customHeight="1" x14ac:dyDescent="0.25">
      <c r="A771" s="8"/>
      <c r="B771" s="9"/>
      <c r="C771" s="93" t="s">
        <v>210</v>
      </c>
      <c r="D771" s="94"/>
      <c r="E771" s="10"/>
      <c r="F771" s="10"/>
      <c r="H771" s="79"/>
      <c r="L771" s="10"/>
      <c r="P771" s="11"/>
      <c r="Q771" s="6"/>
    </row>
    <row r="772" spans="1:17" s="7" customFormat="1" ht="66" customHeight="1" x14ac:dyDescent="0.25">
      <c r="A772" s="8"/>
      <c r="B772" s="9"/>
      <c r="C772" s="92" t="s">
        <v>235</v>
      </c>
      <c r="D772" s="51" t="s">
        <v>12</v>
      </c>
      <c r="E772" s="95">
        <v>1</v>
      </c>
      <c r="F772" s="96" t="s">
        <v>77</v>
      </c>
      <c r="L772" s="10"/>
      <c r="P772" s="11"/>
      <c r="Q772" s="6"/>
    </row>
    <row r="773" spans="1:17" s="7" customFormat="1" ht="66" customHeight="1" x14ac:dyDescent="0.25">
      <c r="A773" s="8"/>
      <c r="B773" s="9"/>
      <c r="L773" s="10"/>
      <c r="P773" s="11"/>
      <c r="Q773" s="6"/>
    </row>
    <row r="774" spans="1:17" s="79" customFormat="1" ht="66" customHeight="1" x14ac:dyDescent="0.25">
      <c r="A774" s="97"/>
      <c r="B774" s="18" t="s">
        <v>251</v>
      </c>
      <c r="C774" s="19" t="str">
        <f>VLOOKUP($B774,[1]ORÇ_ANALITICO!$A$10:$K$137,2,0)</f>
        <v>15.020.0158-0</v>
      </c>
      <c r="D774" s="157" t="str">
        <f>VLOOKUP($C774,[1]ORÇ_ANALITICO!$B$10:$L$137,4,0)</f>
        <v>LAMPADA LED,BULBO,A60,10,5W,100/240V,BASE E-27.FORNECIMENTOE COLOCACAO</v>
      </c>
      <c r="E774" s="157" t="e">
        <f>VLOOKUP(D774,[1]ORÇ_ANALITICO!C638:M737,2,0)</f>
        <v>#N/A</v>
      </c>
      <c r="F774" s="157" t="e">
        <f>VLOOKUP(E774,[1]ORÇ_ANALITICO!E638:N737,2,0)</f>
        <v>#N/A</v>
      </c>
      <c r="G774" s="157" t="e">
        <f>VLOOKUP(F774,[1]ORÇ_ANALITICO!F638:O737,2,0)</f>
        <v>#N/A</v>
      </c>
      <c r="H774" s="157" t="e">
        <f>VLOOKUP(G774,[1]ORÇ_ANALITICO!G638:P737,2,0)</f>
        <v>#N/A</v>
      </c>
      <c r="I774" s="157" t="e">
        <f>VLOOKUP(H774,[1]ORÇ_ANALITICO!H638:Q737,2,0)</f>
        <v>#N/A</v>
      </c>
      <c r="J774" s="157" t="e">
        <f>VLOOKUP(I774,[1]ORÇ_ANALITICO!I638:R737,2,0)</f>
        <v>#N/A</v>
      </c>
      <c r="K774" s="157" t="e">
        <f>VLOOKUP(J774,[1]ORÇ_ANALITICO!J638:S737,2,0)</f>
        <v>#N/A</v>
      </c>
      <c r="L774" s="157" t="e">
        <f>VLOOKUP(K774,[1]ORÇ_ANALITICO!K638:T737,2,0)</f>
        <v>#N/A</v>
      </c>
      <c r="M774" s="157" t="e">
        <f>VLOOKUP(L774,[1]ORÇ_ANALITICO!L638:U737,2,0)</f>
        <v>#N/A</v>
      </c>
      <c r="N774" s="157" t="e">
        <f>VLOOKUP(M774,[1]ORÇ_ANALITICO!M638:V737,2,0)</f>
        <v>#N/A</v>
      </c>
      <c r="O774" s="20" t="str">
        <f>VLOOKUP($C774,[1]ORÇ_ANALITICO!$B$10:$L$137,5,0)</f>
        <v>UN</v>
      </c>
      <c r="P774" s="20">
        <f>E779</f>
        <v>4</v>
      </c>
      <c r="Q774" s="98"/>
    </row>
    <row r="775" spans="1:17" s="7" customFormat="1" ht="66" customHeight="1" x14ac:dyDescent="0.25">
      <c r="A775" s="8"/>
      <c r="B775" s="9"/>
      <c r="L775" s="10"/>
      <c r="P775" s="11"/>
      <c r="Q775" s="6"/>
    </row>
    <row r="776" spans="1:17" s="7" customFormat="1" ht="66" customHeight="1" x14ac:dyDescent="0.25">
      <c r="A776" s="8"/>
      <c r="B776" s="9"/>
      <c r="E776" s="50" t="s">
        <v>75</v>
      </c>
      <c r="L776" s="10"/>
      <c r="P776" s="11"/>
      <c r="Q776" s="6"/>
    </row>
    <row r="777" spans="1:17" s="7" customFormat="1" ht="66" customHeight="1" x14ac:dyDescent="0.25">
      <c r="A777" s="8"/>
      <c r="B777" s="9"/>
      <c r="L777" s="10"/>
      <c r="P777" s="11"/>
      <c r="Q777" s="6"/>
    </row>
    <row r="778" spans="1:17" s="7" customFormat="1" ht="66" customHeight="1" x14ac:dyDescent="0.25">
      <c r="A778" s="8"/>
      <c r="B778" s="9"/>
      <c r="C778" s="86" t="s">
        <v>210</v>
      </c>
      <c r="D778" s="86"/>
      <c r="E778" s="32"/>
      <c r="F778" s="32"/>
      <c r="L778" s="10"/>
      <c r="P778" s="11"/>
      <c r="Q778" s="6"/>
    </row>
    <row r="779" spans="1:17" s="7" customFormat="1" ht="66" customHeight="1" x14ac:dyDescent="0.25">
      <c r="A779" s="8"/>
      <c r="B779" s="9"/>
      <c r="C779" s="86" t="s">
        <v>124</v>
      </c>
      <c r="D779" s="24" t="s">
        <v>12</v>
      </c>
      <c r="E779" s="86">
        <v>4</v>
      </c>
      <c r="F779" s="24" t="s">
        <v>77</v>
      </c>
      <c r="L779" s="10"/>
      <c r="P779" s="11"/>
      <c r="Q779" s="6"/>
    </row>
    <row r="780" spans="1:17" s="7" customFormat="1" ht="66" customHeight="1" x14ac:dyDescent="0.25">
      <c r="A780" s="8"/>
      <c r="B780" s="9"/>
      <c r="L780" s="10"/>
      <c r="P780" s="11"/>
      <c r="Q780" s="6"/>
    </row>
    <row r="781" spans="1:17" s="7" customFormat="1" ht="66" customHeight="1" x14ac:dyDescent="0.25">
      <c r="A781" s="8"/>
      <c r="B781" s="18" t="s">
        <v>252</v>
      </c>
      <c r="C781" s="19" t="str">
        <f>VLOOKUP($B781,[1]ORÇ_ANALITICO!$A$10:$K$137,2,0)</f>
        <v>15.003.0405-0</v>
      </c>
      <c r="D781" s="157" t="str">
        <f>VLOOKUP($C781,[1]ORÇ_ANALITICO!$B$10:$L$137,4,0)</f>
        <v>ASSENTAMENTO DE BACIA SANITARIA (EXCLUSIVE FORNECIMENTO DO APARELHO),INCLUSIVE MATERIAIS NECESSARIOS</v>
      </c>
      <c r="E781" s="157" t="e">
        <f>VLOOKUP(D781,[1]ORÇ_ANALITICO!C645:M744,2,0)</f>
        <v>#N/A</v>
      </c>
      <c r="F781" s="157" t="e">
        <f>VLOOKUP(E781,[1]ORÇ_ANALITICO!E645:N744,2,0)</f>
        <v>#N/A</v>
      </c>
      <c r="G781" s="157" t="e">
        <f>VLOOKUP(F781,[1]ORÇ_ANALITICO!F645:O744,2,0)</f>
        <v>#N/A</v>
      </c>
      <c r="H781" s="157" t="e">
        <f>VLOOKUP(G781,[1]ORÇ_ANALITICO!G645:P744,2,0)</f>
        <v>#N/A</v>
      </c>
      <c r="I781" s="157" t="e">
        <f>VLOOKUP(H781,[1]ORÇ_ANALITICO!H645:Q744,2,0)</f>
        <v>#N/A</v>
      </c>
      <c r="J781" s="157" t="e">
        <f>VLOOKUP(I781,[1]ORÇ_ANALITICO!I645:R744,2,0)</f>
        <v>#N/A</v>
      </c>
      <c r="K781" s="157" t="e">
        <f>VLOOKUP(J781,[1]ORÇ_ANALITICO!J645:S744,2,0)</f>
        <v>#N/A</v>
      </c>
      <c r="L781" s="157" t="e">
        <f>VLOOKUP(K781,[1]ORÇ_ANALITICO!K645:T744,2,0)</f>
        <v>#N/A</v>
      </c>
      <c r="M781" s="157" t="e">
        <f>VLOOKUP(L781,[1]ORÇ_ANALITICO!L645:U744,2,0)</f>
        <v>#N/A</v>
      </c>
      <c r="N781" s="157" t="e">
        <f>VLOOKUP(M781,[1]ORÇ_ANALITICO!M645:V744,2,0)</f>
        <v>#N/A</v>
      </c>
      <c r="O781" s="20" t="str">
        <f>VLOOKUP($C781,[1]ORÇ_ANALITICO!$B$10:$L$137,5,0)</f>
        <v>UN</v>
      </c>
      <c r="P781" s="20">
        <f>E792</f>
        <v>10</v>
      </c>
      <c r="Q781" s="6"/>
    </row>
    <row r="782" spans="1:17" s="7" customFormat="1" ht="66" customHeight="1" x14ac:dyDescent="0.25">
      <c r="A782" s="8"/>
      <c r="B782" s="9"/>
      <c r="L782" s="10"/>
      <c r="P782" s="11"/>
      <c r="Q782" s="6"/>
    </row>
    <row r="783" spans="1:17" s="7" customFormat="1" ht="66" customHeight="1" x14ac:dyDescent="0.25">
      <c r="A783" s="8"/>
      <c r="B783" s="9"/>
      <c r="C783" s="22"/>
      <c r="D783" s="24"/>
      <c r="E783" s="48" t="s">
        <v>75</v>
      </c>
      <c r="F783" s="48"/>
      <c r="L783" s="10"/>
      <c r="P783" s="11"/>
      <c r="Q783" s="6"/>
    </row>
    <row r="784" spans="1:17" s="7" customFormat="1" ht="66" customHeight="1" x14ac:dyDescent="0.25">
      <c r="A784" s="8"/>
      <c r="B784" s="9"/>
      <c r="C784" s="22"/>
      <c r="D784" s="24"/>
      <c r="E784" s="48"/>
      <c r="F784" s="48"/>
      <c r="L784" s="10"/>
      <c r="P784" s="11"/>
      <c r="Q784" s="6"/>
    </row>
    <row r="785" spans="1:17" s="7" customFormat="1" ht="66" customHeight="1" x14ac:dyDescent="0.25">
      <c r="A785" s="8"/>
      <c r="B785" s="9"/>
      <c r="C785" s="22" t="s">
        <v>106</v>
      </c>
      <c r="D785" s="24" t="s">
        <v>12</v>
      </c>
      <c r="E785" s="48">
        <v>2</v>
      </c>
      <c r="F785" s="48" t="s">
        <v>77</v>
      </c>
      <c r="L785" s="10"/>
      <c r="P785" s="11"/>
      <c r="Q785" s="6"/>
    </row>
    <row r="786" spans="1:17" s="7" customFormat="1" ht="66" customHeight="1" x14ac:dyDescent="0.25">
      <c r="A786" s="8"/>
      <c r="B786" s="9"/>
      <c r="C786" s="22" t="s">
        <v>107</v>
      </c>
      <c r="D786" s="24" t="s">
        <v>12</v>
      </c>
      <c r="E786" s="48">
        <v>2</v>
      </c>
      <c r="F786" s="48" t="s">
        <v>77</v>
      </c>
      <c r="L786" s="10"/>
      <c r="P786" s="11"/>
      <c r="Q786" s="6"/>
    </row>
    <row r="787" spans="1:17" s="7" customFormat="1" ht="66" customHeight="1" x14ac:dyDescent="0.25">
      <c r="A787" s="8"/>
      <c r="B787" s="9"/>
      <c r="C787" s="22" t="s">
        <v>109</v>
      </c>
      <c r="D787" s="24" t="s">
        <v>12</v>
      </c>
      <c r="E787" s="48">
        <v>2</v>
      </c>
      <c r="F787" s="48" t="s">
        <v>77</v>
      </c>
      <c r="L787" s="10"/>
      <c r="P787" s="11"/>
      <c r="Q787" s="6"/>
    </row>
    <row r="788" spans="1:17" s="7" customFormat="1" ht="66" customHeight="1" x14ac:dyDescent="0.25">
      <c r="A788" s="8"/>
      <c r="B788" s="9"/>
      <c r="C788" s="22" t="s">
        <v>110</v>
      </c>
      <c r="D788" s="24" t="s">
        <v>12</v>
      </c>
      <c r="E788" s="48">
        <v>2</v>
      </c>
      <c r="F788" s="48" t="s">
        <v>77</v>
      </c>
      <c r="L788" s="10"/>
      <c r="P788" s="11"/>
      <c r="Q788" s="6"/>
    </row>
    <row r="789" spans="1:17" s="7" customFormat="1" ht="66" customHeight="1" x14ac:dyDescent="0.25">
      <c r="A789" s="8"/>
      <c r="B789" s="9"/>
      <c r="C789" s="22" t="s">
        <v>123</v>
      </c>
      <c r="D789" s="24" t="s">
        <v>12</v>
      </c>
      <c r="E789" s="48">
        <v>1</v>
      </c>
      <c r="F789" s="48" t="s">
        <v>77</v>
      </c>
      <c r="L789" s="10"/>
      <c r="P789" s="11"/>
      <c r="Q789" s="6"/>
    </row>
    <row r="790" spans="1:17" s="7" customFormat="1" ht="66" customHeight="1" x14ac:dyDescent="0.25">
      <c r="A790" s="8"/>
      <c r="B790" s="9"/>
      <c r="C790" s="22" t="s">
        <v>67</v>
      </c>
      <c r="D790" s="24" t="s">
        <v>12</v>
      </c>
      <c r="E790" s="48">
        <v>1</v>
      </c>
      <c r="F790" s="48" t="s">
        <v>77</v>
      </c>
      <c r="L790" s="10"/>
      <c r="P790" s="11"/>
      <c r="Q790" s="6"/>
    </row>
    <row r="791" spans="1:17" s="7" customFormat="1" ht="66" customHeight="1" x14ac:dyDescent="0.25">
      <c r="A791" s="8"/>
      <c r="B791" s="9"/>
      <c r="C791" s="10"/>
      <c r="L791" s="10"/>
      <c r="P791" s="11"/>
      <c r="Q791" s="6"/>
    </row>
    <row r="792" spans="1:17" s="7" customFormat="1" ht="66" customHeight="1" x14ac:dyDescent="0.25">
      <c r="A792" s="8"/>
      <c r="B792" s="9"/>
      <c r="C792" s="52" t="s">
        <v>48</v>
      </c>
      <c r="D792" s="27" t="s">
        <v>12</v>
      </c>
      <c r="E792" s="26">
        <f>SUM(E785:E790)</f>
        <v>10</v>
      </c>
      <c r="F792" s="26" t="s">
        <v>77</v>
      </c>
      <c r="L792" s="10"/>
      <c r="P792" s="11"/>
      <c r="Q792" s="6"/>
    </row>
    <row r="793" spans="1:17" s="7" customFormat="1" ht="66" customHeight="1" x14ac:dyDescent="0.25">
      <c r="A793" s="8"/>
      <c r="B793" s="9"/>
      <c r="C793" s="99"/>
      <c r="D793" s="96"/>
      <c r="E793" s="100"/>
      <c r="F793" s="96"/>
      <c r="L793" s="10"/>
      <c r="P793" s="11"/>
      <c r="Q793" s="6"/>
    </row>
    <row r="794" spans="1:17" s="7" customFormat="1" ht="66" customHeight="1" x14ac:dyDescent="0.25">
      <c r="A794" s="8"/>
      <c r="B794" s="18" t="s">
        <v>253</v>
      </c>
      <c r="C794" s="19" t="str">
        <f>VLOOKUP($B794,[1]ORÇ_ANALITICO!$A$10:$K$137,2,0)</f>
        <v>15.004.0070-0</v>
      </c>
      <c r="D794" s="157" t="str">
        <f>VLOOKUP($C794,[1]ORÇ_ANALITICO!$B$10:$L$137,4,0)</f>
        <v>INSTALACAO E ASSENTAMENTO DE TANQUE DE SERVICO (EXCLUSIVE FORNECIMENTO DO APARELHO),COMPREENDENDO:3,00M DE TUBO DE PVC DE 25MM,3,00M DE TUBO DE PVC DE 50MM E CONEXOES</v>
      </c>
      <c r="E794" s="157" t="e">
        <f>VLOOKUP(D794,[1]ORÇ_ANALITICO!C658:M757,2,0)</f>
        <v>#N/A</v>
      </c>
      <c r="F794" s="157" t="e">
        <f>VLOOKUP(E794,[1]ORÇ_ANALITICO!E658:N757,2,0)</f>
        <v>#N/A</v>
      </c>
      <c r="G794" s="157" t="e">
        <f>VLOOKUP(F794,[1]ORÇ_ANALITICO!F658:O757,2,0)</f>
        <v>#N/A</v>
      </c>
      <c r="H794" s="157" t="e">
        <f>VLOOKUP(G794,[1]ORÇ_ANALITICO!G658:P757,2,0)</f>
        <v>#N/A</v>
      </c>
      <c r="I794" s="157" t="e">
        <f>VLOOKUP(H794,[1]ORÇ_ANALITICO!H658:Q757,2,0)</f>
        <v>#N/A</v>
      </c>
      <c r="J794" s="157" t="e">
        <f>VLOOKUP(I794,[1]ORÇ_ANALITICO!I658:R757,2,0)</f>
        <v>#N/A</v>
      </c>
      <c r="K794" s="157" t="e">
        <f>VLOOKUP(J794,[1]ORÇ_ANALITICO!J658:S757,2,0)</f>
        <v>#N/A</v>
      </c>
      <c r="L794" s="157" t="e">
        <f>VLOOKUP(K794,[1]ORÇ_ANALITICO!K658:T757,2,0)</f>
        <v>#N/A</v>
      </c>
      <c r="M794" s="157" t="e">
        <f>VLOOKUP(L794,[1]ORÇ_ANALITICO!L658:U757,2,0)</f>
        <v>#N/A</v>
      </c>
      <c r="N794" s="157" t="e">
        <f>VLOOKUP(M794,[1]ORÇ_ANALITICO!M658:V757,2,0)</f>
        <v>#N/A</v>
      </c>
      <c r="O794" s="20" t="str">
        <f>VLOOKUP($C794,[1]ORÇ_ANALITICO!$B$10:$L$137,5,0)</f>
        <v>UN</v>
      </c>
      <c r="P794" s="20">
        <f>E797</f>
        <v>1</v>
      </c>
      <c r="Q794" s="6"/>
    </row>
    <row r="795" spans="1:17" s="7" customFormat="1" ht="66" customHeight="1" x14ac:dyDescent="0.25">
      <c r="A795" s="8"/>
      <c r="B795" s="9"/>
      <c r="C795" s="99"/>
      <c r="D795" s="96"/>
      <c r="E795" s="100"/>
      <c r="F795" s="96"/>
      <c r="L795" s="10"/>
      <c r="P795" s="11"/>
      <c r="Q795" s="6"/>
    </row>
    <row r="796" spans="1:17" s="7" customFormat="1" ht="66" customHeight="1" x14ac:dyDescent="0.25">
      <c r="A796" s="8"/>
      <c r="B796" s="9"/>
      <c r="C796" s="10"/>
      <c r="L796" s="10"/>
      <c r="P796" s="11"/>
      <c r="Q796" s="6"/>
    </row>
    <row r="797" spans="1:17" s="7" customFormat="1" ht="66" customHeight="1" x14ac:dyDescent="0.25">
      <c r="A797" s="8"/>
      <c r="B797" s="9"/>
      <c r="C797" s="22" t="s">
        <v>72</v>
      </c>
      <c r="D797" s="24" t="s">
        <v>12</v>
      </c>
      <c r="E797" s="26">
        <v>1</v>
      </c>
      <c r="F797" s="26" t="s">
        <v>77</v>
      </c>
      <c r="L797" s="10"/>
      <c r="P797" s="11"/>
      <c r="Q797" s="6"/>
    </row>
    <row r="798" spans="1:17" s="7" customFormat="1" ht="66" customHeight="1" x14ac:dyDescent="0.25">
      <c r="A798" s="8"/>
      <c r="B798" s="9"/>
      <c r="C798" s="99"/>
      <c r="D798" s="96"/>
      <c r="E798" s="100"/>
      <c r="F798" s="96"/>
      <c r="L798" s="10"/>
      <c r="P798" s="11"/>
      <c r="Q798" s="6"/>
    </row>
    <row r="799" spans="1:17" s="7" customFormat="1" ht="66" customHeight="1" x14ac:dyDescent="0.25">
      <c r="A799" s="8"/>
      <c r="B799" s="18" t="s">
        <v>254</v>
      </c>
      <c r="C799" s="19" t="str">
        <f>VLOOKUP($B799,[1]ORÇ_ANALITICO!$A$10:$K$137,2,0)</f>
        <v>15.003.0360-0</v>
      </c>
      <c r="D799" s="157" t="str">
        <f>VLOOKUP($C799,[1]ORÇ_ANALITICO!$B$10:$L$137,4,0)</f>
        <v>ASSENTAMENTO DE LAVATORIO(EXCLUSIVE FORNECIMENTO DO APARELHO),INCLUSIVE MATERIAIS NECESSARIOS</v>
      </c>
      <c r="E799" s="157" t="e">
        <f>VLOOKUP(D799,[1]ORÇ_ANALITICO!C663:M762,2,0)</f>
        <v>#N/A</v>
      </c>
      <c r="F799" s="157" t="e">
        <f>VLOOKUP(E799,[1]ORÇ_ANALITICO!E663:N762,2,0)</f>
        <v>#N/A</v>
      </c>
      <c r="G799" s="157" t="e">
        <f>VLOOKUP(F799,[1]ORÇ_ANALITICO!F663:O762,2,0)</f>
        <v>#N/A</v>
      </c>
      <c r="H799" s="157" t="e">
        <f>VLOOKUP(G799,[1]ORÇ_ANALITICO!G663:P762,2,0)</f>
        <v>#N/A</v>
      </c>
      <c r="I799" s="157" t="e">
        <f>VLOOKUP(H799,[1]ORÇ_ANALITICO!H663:Q762,2,0)</f>
        <v>#N/A</v>
      </c>
      <c r="J799" s="157" t="e">
        <f>VLOOKUP(I799,[1]ORÇ_ANALITICO!I663:R762,2,0)</f>
        <v>#N/A</v>
      </c>
      <c r="K799" s="157" t="e">
        <f>VLOOKUP(J799,[1]ORÇ_ANALITICO!J663:S762,2,0)</f>
        <v>#N/A</v>
      </c>
      <c r="L799" s="157" t="e">
        <f>VLOOKUP(K799,[1]ORÇ_ANALITICO!K663:T762,2,0)</f>
        <v>#N/A</v>
      </c>
      <c r="M799" s="157" t="e">
        <f>VLOOKUP(L799,[1]ORÇ_ANALITICO!L663:U762,2,0)</f>
        <v>#N/A</v>
      </c>
      <c r="N799" s="157" t="e">
        <f>VLOOKUP(M799,[1]ORÇ_ANALITICO!M663:V762,2,0)</f>
        <v>#N/A</v>
      </c>
      <c r="O799" s="20" t="str">
        <f>VLOOKUP($C799,[1]ORÇ_ANALITICO!$B$10:$L$137,5,0)</f>
        <v>UN</v>
      </c>
      <c r="P799" s="20">
        <f>E809</f>
        <v>6</v>
      </c>
      <c r="Q799" s="6"/>
    </row>
    <row r="800" spans="1:17" s="7" customFormat="1" ht="66" customHeight="1" x14ac:dyDescent="0.25">
      <c r="A800" s="8"/>
      <c r="B800" s="9"/>
      <c r="C800" s="99"/>
      <c r="D800" s="96"/>
      <c r="E800" s="100"/>
      <c r="F800" s="96"/>
      <c r="L800" s="10"/>
      <c r="P800" s="11"/>
      <c r="Q800" s="6"/>
    </row>
    <row r="801" spans="1:17" s="7" customFormat="1" ht="66" customHeight="1" x14ac:dyDescent="0.25">
      <c r="A801" s="8"/>
      <c r="B801" s="9"/>
      <c r="C801" s="22"/>
      <c r="D801" s="24"/>
      <c r="E801" s="48"/>
      <c r="F801" s="48"/>
      <c r="G801" s="66"/>
      <c r="H801" s="66"/>
      <c r="L801" s="10"/>
      <c r="P801" s="11"/>
      <c r="Q801" s="6"/>
    </row>
    <row r="802" spans="1:17" s="7" customFormat="1" ht="66" customHeight="1" x14ac:dyDescent="0.25">
      <c r="A802" s="8"/>
      <c r="B802" s="9"/>
      <c r="C802" s="22" t="s">
        <v>106</v>
      </c>
      <c r="D802" s="24" t="s">
        <v>12</v>
      </c>
      <c r="E802" s="48">
        <v>1</v>
      </c>
      <c r="F802" s="48" t="s">
        <v>77</v>
      </c>
      <c r="G802" s="66"/>
      <c r="L802" s="10"/>
      <c r="P802" s="11"/>
      <c r="Q802" s="6"/>
    </row>
    <row r="803" spans="1:17" s="7" customFormat="1" ht="66" customHeight="1" x14ac:dyDescent="0.25">
      <c r="A803" s="8"/>
      <c r="B803" s="9"/>
      <c r="C803" s="22" t="s">
        <v>107</v>
      </c>
      <c r="D803" s="24" t="s">
        <v>12</v>
      </c>
      <c r="E803" s="48">
        <v>1</v>
      </c>
      <c r="F803" s="48" t="s">
        <v>77</v>
      </c>
      <c r="G803" s="66"/>
      <c r="H803" s="66"/>
      <c r="L803" s="10"/>
      <c r="P803" s="11"/>
      <c r="Q803" s="6"/>
    </row>
    <row r="804" spans="1:17" s="7" customFormat="1" ht="66" customHeight="1" x14ac:dyDescent="0.25">
      <c r="A804" s="8"/>
      <c r="B804" s="9"/>
      <c r="C804" s="22" t="s">
        <v>109</v>
      </c>
      <c r="D804" s="24" t="s">
        <v>12</v>
      </c>
      <c r="E804" s="48">
        <v>1</v>
      </c>
      <c r="F804" s="48" t="s">
        <v>77</v>
      </c>
      <c r="G804" s="66"/>
      <c r="H804" s="66"/>
      <c r="L804" s="10"/>
      <c r="P804" s="11"/>
      <c r="Q804" s="6"/>
    </row>
    <row r="805" spans="1:17" s="7" customFormat="1" ht="66" customHeight="1" x14ac:dyDescent="0.25">
      <c r="A805" s="8"/>
      <c r="B805" s="9"/>
      <c r="C805" s="22" t="s">
        <v>110</v>
      </c>
      <c r="D805" s="24" t="s">
        <v>12</v>
      </c>
      <c r="E805" s="48">
        <v>1</v>
      </c>
      <c r="F805" s="48" t="s">
        <v>77</v>
      </c>
      <c r="G805" s="66"/>
      <c r="H805" s="66"/>
      <c r="L805" s="10"/>
      <c r="P805" s="11"/>
      <c r="Q805" s="6"/>
    </row>
    <row r="806" spans="1:17" s="7" customFormat="1" ht="66" customHeight="1" x14ac:dyDescent="0.25">
      <c r="A806" s="8"/>
      <c r="B806" s="9"/>
      <c r="C806" s="22" t="s">
        <v>123</v>
      </c>
      <c r="D806" s="24" t="s">
        <v>12</v>
      </c>
      <c r="E806" s="48">
        <v>1</v>
      </c>
      <c r="F806" s="48" t="s">
        <v>77</v>
      </c>
      <c r="G806" s="66"/>
      <c r="H806" s="66"/>
      <c r="L806" s="10"/>
      <c r="P806" s="11"/>
      <c r="Q806" s="6"/>
    </row>
    <row r="807" spans="1:17" s="7" customFormat="1" ht="66" customHeight="1" x14ac:dyDescent="0.25">
      <c r="A807" s="8"/>
      <c r="B807" s="9"/>
      <c r="C807" s="22" t="s">
        <v>67</v>
      </c>
      <c r="D807" s="24" t="s">
        <v>12</v>
      </c>
      <c r="E807" s="48">
        <v>1</v>
      </c>
      <c r="F807" s="48" t="s">
        <v>77</v>
      </c>
      <c r="G807" s="66"/>
      <c r="H807" s="66"/>
      <c r="L807" s="10"/>
      <c r="P807" s="11"/>
      <c r="Q807" s="6"/>
    </row>
    <row r="808" spans="1:17" s="7" customFormat="1" ht="66" customHeight="1" x14ac:dyDescent="0.25">
      <c r="A808" s="8"/>
      <c r="B808" s="9"/>
      <c r="C808" s="22"/>
      <c r="D808" s="24"/>
      <c r="E808" s="48"/>
      <c r="F808" s="48"/>
      <c r="G808" s="66"/>
      <c r="H808" s="66"/>
      <c r="L808" s="10"/>
      <c r="P808" s="11"/>
      <c r="Q808" s="6"/>
    </row>
    <row r="809" spans="1:17" s="7" customFormat="1" ht="66" customHeight="1" x14ac:dyDescent="0.25">
      <c r="A809" s="8"/>
      <c r="B809" s="9"/>
      <c r="C809" s="52" t="s">
        <v>48</v>
      </c>
      <c r="D809" s="27" t="s">
        <v>12</v>
      </c>
      <c r="E809" s="26">
        <f>SUM(E802:E807)</f>
        <v>6</v>
      </c>
      <c r="F809" s="26" t="s">
        <v>77</v>
      </c>
      <c r="G809" s="66"/>
      <c r="H809" s="66"/>
      <c r="L809" s="10"/>
      <c r="P809" s="11"/>
      <c r="Q809" s="6"/>
    </row>
    <row r="810" spans="1:17" s="7" customFormat="1" ht="66" customHeight="1" x14ac:dyDescent="0.25">
      <c r="A810" s="8"/>
      <c r="B810" s="9"/>
      <c r="C810" s="99"/>
      <c r="D810" s="96"/>
      <c r="E810" s="100"/>
      <c r="F810" s="96"/>
      <c r="L810" s="10"/>
      <c r="P810" s="11"/>
      <c r="Q810" s="6"/>
    </row>
    <row r="811" spans="1:17" s="7" customFormat="1" ht="66" customHeight="1" x14ac:dyDescent="0.25">
      <c r="A811" s="8"/>
      <c r="B811" s="18" t="s">
        <v>255</v>
      </c>
      <c r="C811" s="19" t="str">
        <f>VLOOKUP($B811,[1]ORÇ_ANALITICO!$A$10:$K$137,2,0)</f>
        <v>15.005.0215-0</v>
      </c>
      <c r="D811" s="157" t="str">
        <f>VLOOKUP($C811,[1]ORÇ_ANALITICO!$B$10:$L$137,4,0)</f>
        <v>ASSENTAMENTO DE AR-CONDICIONADO SPLIT DE 9000 A 30000 BTU/H,COM 1 CONDENSADOR E 1 EVAPORADOR,CONFORME ABNT NBR 16655,(VIDE FORNECIMENTO DO APARELHO NA FAMILIA 18.030) INCLUSIVE ACESSORIOS DE FIXACAO,EXCLUSIVE ALIMENTACAO ELETRICA E INTERLIGACAO CONDENSADOR/EVAPORADOR (VIDE ITEM 15.005.0240)</v>
      </c>
      <c r="E811" s="157" t="e">
        <f>VLOOKUP(D811,[1]ORÇ_ANALITICO!C675:M774,2,0)</f>
        <v>#VALUE!</v>
      </c>
      <c r="F811" s="157" t="e">
        <f>VLOOKUP(E811,[1]ORÇ_ANALITICO!E675:N774,2,0)</f>
        <v>#VALUE!</v>
      </c>
      <c r="G811" s="157" t="e">
        <f>VLOOKUP(F811,[1]ORÇ_ANALITICO!F675:O774,2,0)</f>
        <v>#VALUE!</v>
      </c>
      <c r="H811" s="157" t="e">
        <f>VLOOKUP(G811,[1]ORÇ_ANALITICO!G675:P774,2,0)</f>
        <v>#VALUE!</v>
      </c>
      <c r="I811" s="157" t="e">
        <f>VLOOKUP(H811,[1]ORÇ_ANALITICO!H675:Q774,2,0)</f>
        <v>#VALUE!</v>
      </c>
      <c r="J811" s="157" t="e">
        <f>VLOOKUP(I811,[1]ORÇ_ANALITICO!I675:R774,2,0)</f>
        <v>#VALUE!</v>
      </c>
      <c r="K811" s="157" t="e">
        <f>VLOOKUP(J811,[1]ORÇ_ANALITICO!J675:S774,2,0)</f>
        <v>#VALUE!</v>
      </c>
      <c r="L811" s="157" t="e">
        <f>VLOOKUP(K811,[1]ORÇ_ANALITICO!K675:T774,2,0)</f>
        <v>#VALUE!</v>
      </c>
      <c r="M811" s="157" t="e">
        <f>VLOOKUP(L811,[1]ORÇ_ANALITICO!L675:U774,2,0)</f>
        <v>#VALUE!</v>
      </c>
      <c r="N811" s="157" t="e">
        <f>VLOOKUP(M811,[1]ORÇ_ANALITICO!M675:V774,2,0)</f>
        <v>#VALUE!</v>
      </c>
      <c r="O811" s="20" t="str">
        <f>VLOOKUP($C811,[1]ORÇ_ANALITICO!$B$10:$L$137,5,0)</f>
        <v>UN</v>
      </c>
      <c r="P811" s="20">
        <f>F813</f>
        <v>1</v>
      </c>
      <c r="Q811" s="6"/>
    </row>
    <row r="812" spans="1:17" s="7" customFormat="1" ht="66" customHeight="1" x14ac:dyDescent="0.25">
      <c r="A812" s="8"/>
      <c r="B812" s="9"/>
      <c r="C812" s="99"/>
      <c r="D812" s="96"/>
      <c r="E812" s="100"/>
      <c r="F812" s="96"/>
      <c r="L812" s="10"/>
      <c r="P812" s="11"/>
      <c r="Q812" s="6"/>
    </row>
    <row r="813" spans="1:17" s="7" customFormat="1" ht="66" customHeight="1" x14ac:dyDescent="0.25">
      <c r="A813" s="8"/>
      <c r="B813" s="9"/>
      <c r="C813" s="22" t="s">
        <v>153</v>
      </c>
      <c r="D813" s="7" t="str">
        <f>B1388</f>
        <v>10.15</v>
      </c>
      <c r="E813" s="24" t="s">
        <v>12</v>
      </c>
      <c r="F813" s="48">
        <f>P1388</f>
        <v>1</v>
      </c>
      <c r="G813" s="48" t="s">
        <v>77</v>
      </c>
      <c r="L813" s="10"/>
      <c r="P813" s="11"/>
      <c r="Q813" s="6"/>
    </row>
    <row r="814" spans="1:17" s="7" customFormat="1" ht="66" customHeight="1" x14ac:dyDescent="0.25">
      <c r="A814" s="8"/>
      <c r="B814" s="9"/>
      <c r="C814" s="99"/>
      <c r="D814" s="96"/>
      <c r="E814" s="100"/>
      <c r="F814" s="96"/>
      <c r="L814" s="10"/>
      <c r="P814" s="11"/>
      <c r="Q814" s="6"/>
    </row>
    <row r="815" spans="1:17" s="7" customFormat="1" ht="66" customHeight="1" x14ac:dyDescent="0.25">
      <c r="A815" s="8"/>
      <c r="B815" s="18" t="s">
        <v>256</v>
      </c>
      <c r="C815" s="19" t="str">
        <f>VLOOKUP($B815,[1]ORÇ_ANALITICO!$A$10:$K$137,2,0)</f>
        <v>15.005.0215-0</v>
      </c>
      <c r="D815" s="157" t="str">
        <f>VLOOKUP($C815,[1]ORÇ_ANALITICO!$B$10:$L$137,4,0)</f>
        <v>ASSENTAMENTO DE AR-CONDICIONADO SPLIT DE 9000 A 30000 BTU/H,COM 1 CONDENSADOR E 1 EVAPORADOR,CONFORME ABNT NBR 16655,(VIDE FORNECIMENTO DO APARELHO NA FAMILIA 18.030) INCLUSIVE ACESSORIOS DE FIXACAO,EXCLUSIVE ALIMENTACAO ELETRICA E INTERLIGACAO CONDENSADOR/EVAPORADOR (VIDE ITEM 15.005.0240)</v>
      </c>
      <c r="E815" s="157" t="e">
        <f>VLOOKUP(D815,[1]ORÇ_ANALITICO!C679:M778,2,0)</f>
        <v>#VALUE!</v>
      </c>
      <c r="F815" s="157" t="e">
        <f>VLOOKUP(E815,[1]ORÇ_ANALITICO!E679:N778,2,0)</f>
        <v>#VALUE!</v>
      </c>
      <c r="G815" s="157" t="e">
        <f>VLOOKUP(F815,[1]ORÇ_ANALITICO!F679:O778,2,0)</f>
        <v>#VALUE!</v>
      </c>
      <c r="H815" s="157" t="e">
        <f>VLOOKUP(G815,[1]ORÇ_ANALITICO!G679:P778,2,0)</f>
        <v>#VALUE!</v>
      </c>
      <c r="I815" s="157" t="e">
        <f>VLOOKUP(H815,[1]ORÇ_ANALITICO!H679:Q778,2,0)</f>
        <v>#VALUE!</v>
      </c>
      <c r="J815" s="157" t="e">
        <f>VLOOKUP(I815,[1]ORÇ_ANALITICO!I679:R778,2,0)</f>
        <v>#VALUE!</v>
      </c>
      <c r="K815" s="157" t="e">
        <f>VLOOKUP(J815,[1]ORÇ_ANALITICO!J679:S778,2,0)</f>
        <v>#VALUE!</v>
      </c>
      <c r="L815" s="157" t="e">
        <f>VLOOKUP(K815,[1]ORÇ_ANALITICO!K679:T778,2,0)</f>
        <v>#VALUE!</v>
      </c>
      <c r="M815" s="157" t="e">
        <f>VLOOKUP(L815,[1]ORÇ_ANALITICO!L679:U778,2,0)</f>
        <v>#VALUE!</v>
      </c>
      <c r="N815" s="157" t="e">
        <f>VLOOKUP(M815,[1]ORÇ_ANALITICO!M679:V778,2,0)</f>
        <v>#VALUE!</v>
      </c>
      <c r="O815" s="20" t="str">
        <f>VLOOKUP($C815,[1]ORÇ_ANALITICO!$B$10:$L$137,5,0)</f>
        <v>UN</v>
      </c>
      <c r="P815" s="20">
        <f>F817</f>
        <v>2</v>
      </c>
      <c r="Q815" s="6"/>
    </row>
    <row r="816" spans="1:17" s="7" customFormat="1" ht="66" customHeight="1" x14ac:dyDescent="0.25">
      <c r="A816" s="8"/>
      <c r="B816" s="9"/>
      <c r="C816" s="99"/>
      <c r="D816" s="96"/>
      <c r="E816" s="100"/>
      <c r="F816" s="96"/>
      <c r="L816" s="10"/>
      <c r="P816" s="11"/>
      <c r="Q816" s="6"/>
    </row>
    <row r="817" spans="1:17" s="7" customFormat="1" ht="66" customHeight="1" x14ac:dyDescent="0.25">
      <c r="A817" s="8"/>
      <c r="B817" s="9"/>
      <c r="C817" s="22" t="s">
        <v>153</v>
      </c>
      <c r="D817" s="7" t="str">
        <f>[1]MEMORIA!B1396</f>
        <v>10.16</v>
      </c>
      <c r="E817" s="24" t="s">
        <v>12</v>
      </c>
      <c r="F817" s="48">
        <f>[1]MEMORIA!P1396</f>
        <v>2</v>
      </c>
      <c r="G817" s="48" t="s">
        <v>77</v>
      </c>
      <c r="L817" s="10"/>
      <c r="P817" s="11"/>
      <c r="Q817" s="6"/>
    </row>
    <row r="818" spans="1:17" s="7" customFormat="1" ht="66" customHeight="1" x14ac:dyDescent="0.25">
      <c r="A818" s="8"/>
      <c r="B818" s="9"/>
      <c r="C818" s="99"/>
      <c r="D818" s="96"/>
      <c r="E818" s="100"/>
      <c r="F818" s="96"/>
      <c r="L818" s="10"/>
      <c r="P818" s="11"/>
      <c r="Q818" s="6"/>
    </row>
    <row r="819" spans="1:17" s="7" customFormat="1" ht="66" customHeight="1" x14ac:dyDescent="0.25">
      <c r="A819" s="8"/>
      <c r="B819" s="18" t="s">
        <v>257</v>
      </c>
      <c r="C819" s="19" t="str">
        <f>VLOOKUP($B819,[1]ORÇ_ANALITICO!$A$10:$K$137,2,0)</f>
        <v>15.005.0215-0</v>
      </c>
      <c r="D819" s="157" t="str">
        <f>VLOOKUP($C819,[1]ORÇ_ANALITICO!$B$10:$L$137,4,0)</f>
        <v>ASSENTAMENTO DE AR-CONDICIONADO SPLIT DE 9000 A 30000 BTU/H,COM 1 CONDENSADOR E 1 EVAPORADOR,CONFORME ABNT NBR 16655,(VIDE FORNECIMENTO DO APARELHO NA FAMILIA 18.030) INCLUSIVE ACESSORIOS DE FIXACAO,EXCLUSIVE ALIMENTACAO ELETRICA E INTERLIGACAO CONDENSADOR/EVAPORADOR (VIDE ITEM 15.005.0240)</v>
      </c>
      <c r="E819" s="157" t="e">
        <f>VLOOKUP(D819,[1]ORÇ_ANALITICO!C683:M782,2,0)</f>
        <v>#VALUE!</v>
      </c>
      <c r="F819" s="157" t="e">
        <f>VLOOKUP(E819,[1]ORÇ_ANALITICO!E683:N782,2,0)</f>
        <v>#VALUE!</v>
      </c>
      <c r="G819" s="157" t="e">
        <f>VLOOKUP(F819,[1]ORÇ_ANALITICO!F683:O782,2,0)</f>
        <v>#VALUE!</v>
      </c>
      <c r="H819" s="157" t="e">
        <f>VLOOKUP(G819,[1]ORÇ_ANALITICO!G683:P782,2,0)</f>
        <v>#VALUE!</v>
      </c>
      <c r="I819" s="157" t="e">
        <f>VLOOKUP(H819,[1]ORÇ_ANALITICO!H683:Q782,2,0)</f>
        <v>#VALUE!</v>
      </c>
      <c r="J819" s="157" t="e">
        <f>VLOOKUP(I819,[1]ORÇ_ANALITICO!I683:R782,2,0)</f>
        <v>#VALUE!</v>
      </c>
      <c r="K819" s="157" t="e">
        <f>VLOOKUP(J819,[1]ORÇ_ANALITICO!J683:S782,2,0)</f>
        <v>#VALUE!</v>
      </c>
      <c r="L819" s="157" t="e">
        <f>VLOOKUP(K819,[1]ORÇ_ANALITICO!K683:T782,2,0)</f>
        <v>#VALUE!</v>
      </c>
      <c r="M819" s="157" t="e">
        <f>VLOOKUP(L819,[1]ORÇ_ANALITICO!L683:U782,2,0)</f>
        <v>#VALUE!</v>
      </c>
      <c r="N819" s="157" t="e">
        <f>VLOOKUP(M819,[1]ORÇ_ANALITICO!M683:V782,2,0)</f>
        <v>#VALUE!</v>
      </c>
      <c r="O819" s="20" t="str">
        <f>VLOOKUP($C819,[1]ORÇ_ANALITICO!$B$10:$L$137,5,0)</f>
        <v>UN</v>
      </c>
      <c r="P819" s="20">
        <f>F821</f>
        <v>2</v>
      </c>
      <c r="Q819" s="6"/>
    </row>
    <row r="820" spans="1:17" s="7" customFormat="1" ht="66" customHeight="1" x14ac:dyDescent="0.25">
      <c r="A820" s="8"/>
      <c r="B820" s="9"/>
      <c r="C820" s="99"/>
      <c r="D820" s="96"/>
      <c r="E820" s="100"/>
      <c r="F820" s="96"/>
      <c r="L820" s="10"/>
      <c r="P820" s="11"/>
      <c r="Q820" s="6"/>
    </row>
    <row r="821" spans="1:17" s="7" customFormat="1" ht="66" customHeight="1" x14ac:dyDescent="0.25">
      <c r="A821" s="8"/>
      <c r="B821" s="9"/>
      <c r="C821" s="22" t="s">
        <v>153</v>
      </c>
      <c r="D821" s="7" t="str">
        <f>[1]MEMORIA!B1405</f>
        <v>10.17</v>
      </c>
      <c r="E821" s="24" t="s">
        <v>12</v>
      </c>
      <c r="F821" s="48">
        <f>[1]MEMORIA!P1405</f>
        <v>2</v>
      </c>
      <c r="G821" s="48" t="s">
        <v>77</v>
      </c>
      <c r="L821" s="10"/>
      <c r="P821" s="11"/>
      <c r="Q821" s="6"/>
    </row>
    <row r="822" spans="1:17" s="7" customFormat="1" ht="66" customHeight="1" x14ac:dyDescent="0.25">
      <c r="A822" s="8"/>
      <c r="B822" s="9"/>
      <c r="C822" s="99"/>
      <c r="D822" s="96"/>
      <c r="E822" s="100"/>
      <c r="F822" s="96"/>
      <c r="L822" s="10"/>
      <c r="P822" s="11"/>
      <c r="Q822" s="6"/>
    </row>
    <row r="823" spans="1:17" s="7" customFormat="1" ht="66" customHeight="1" x14ac:dyDescent="0.25">
      <c r="A823" s="8"/>
      <c r="B823" s="18" t="s">
        <v>258</v>
      </c>
      <c r="C823" s="19" t="str">
        <f>VLOOKUP($B823,[1]ORÇ_ANALITICO!$A$10:$K$137,2,0)</f>
        <v>15.005.0215-0</v>
      </c>
      <c r="D823" s="157" t="str">
        <f>VLOOKUP($C823,[1]ORÇ_ANALITICO!$B$10:$L$137,4,0)</f>
        <v>ASSENTAMENTO DE AR-CONDICIONADO SPLIT DE 9000 A 30000 BTU/H,COM 1 CONDENSADOR E 1 EVAPORADOR,CONFORME ABNT NBR 16655,(VIDE FORNECIMENTO DO APARELHO NA FAMILIA 18.030) INCLUSIVE ACESSORIOS DE FIXACAO,EXCLUSIVE ALIMENTACAO ELETRICA E INTERLIGACAO CONDENSADOR/EVAPORADOR (VIDE ITEM 15.005.0240)</v>
      </c>
      <c r="E823" s="157" t="e">
        <f>VLOOKUP(D823,[1]ORÇ_ANALITICO!C687:M786,2,0)</f>
        <v>#VALUE!</v>
      </c>
      <c r="F823" s="157" t="e">
        <f>VLOOKUP(E823,[1]ORÇ_ANALITICO!E687:N786,2,0)</f>
        <v>#VALUE!</v>
      </c>
      <c r="G823" s="157" t="e">
        <f>VLOOKUP(F823,[1]ORÇ_ANALITICO!F687:O786,2,0)</f>
        <v>#VALUE!</v>
      </c>
      <c r="H823" s="157" t="e">
        <f>VLOOKUP(G823,[1]ORÇ_ANALITICO!G687:P786,2,0)</f>
        <v>#VALUE!</v>
      </c>
      <c r="I823" s="157" t="e">
        <f>VLOOKUP(H823,[1]ORÇ_ANALITICO!H687:Q786,2,0)</f>
        <v>#VALUE!</v>
      </c>
      <c r="J823" s="157" t="e">
        <f>VLOOKUP(I823,[1]ORÇ_ANALITICO!I687:R786,2,0)</f>
        <v>#VALUE!</v>
      </c>
      <c r="K823" s="157" t="e">
        <f>VLOOKUP(J823,[1]ORÇ_ANALITICO!J687:S786,2,0)</f>
        <v>#VALUE!</v>
      </c>
      <c r="L823" s="157" t="e">
        <f>VLOOKUP(K823,[1]ORÇ_ANALITICO!K687:T786,2,0)</f>
        <v>#VALUE!</v>
      </c>
      <c r="M823" s="157" t="e">
        <f>VLOOKUP(L823,[1]ORÇ_ANALITICO!L687:U786,2,0)</f>
        <v>#VALUE!</v>
      </c>
      <c r="N823" s="157" t="e">
        <f>VLOOKUP(M823,[1]ORÇ_ANALITICO!M687:V786,2,0)</f>
        <v>#VALUE!</v>
      </c>
      <c r="O823" s="20" t="str">
        <f>VLOOKUP($C823,[1]ORÇ_ANALITICO!$B$10:$L$137,5,0)</f>
        <v>UN</v>
      </c>
      <c r="P823" s="20">
        <f>F825</f>
        <v>3</v>
      </c>
      <c r="Q823" s="6"/>
    </row>
    <row r="824" spans="1:17" s="7" customFormat="1" ht="66" customHeight="1" x14ac:dyDescent="0.25">
      <c r="A824" s="8"/>
      <c r="B824" s="9"/>
      <c r="C824" s="99"/>
      <c r="D824" s="96"/>
      <c r="E824" s="100"/>
      <c r="F824" s="96"/>
      <c r="L824" s="10"/>
      <c r="P824" s="11"/>
      <c r="Q824" s="6"/>
    </row>
    <row r="825" spans="1:17" s="7" customFormat="1" ht="66" customHeight="1" x14ac:dyDescent="0.25">
      <c r="A825" s="8"/>
      <c r="B825" s="9"/>
      <c r="C825" s="22" t="s">
        <v>153</v>
      </c>
      <c r="D825" s="7" t="str">
        <f>[1]MEMORIA!B1414</f>
        <v>10.18</v>
      </c>
      <c r="E825" s="24" t="s">
        <v>12</v>
      </c>
      <c r="F825" s="48">
        <f>[1]MEMORIA!P1414</f>
        <v>3</v>
      </c>
      <c r="G825" s="48" t="s">
        <v>77</v>
      </c>
      <c r="L825" s="10"/>
      <c r="P825" s="11"/>
      <c r="Q825" s="6"/>
    </row>
    <row r="826" spans="1:17" s="7" customFormat="1" ht="66" customHeight="1" x14ac:dyDescent="0.25">
      <c r="A826" s="8"/>
      <c r="B826" s="9"/>
      <c r="C826" s="99"/>
      <c r="D826" s="96"/>
      <c r="E826" s="100"/>
      <c r="F826" s="96"/>
      <c r="L826" s="10"/>
      <c r="P826" s="11"/>
      <c r="Q826" s="6"/>
    </row>
    <row r="827" spans="1:17" s="7" customFormat="1" ht="66" customHeight="1" x14ac:dyDescent="0.25">
      <c r="A827" s="8"/>
      <c r="B827" s="18" t="s">
        <v>259</v>
      </c>
      <c r="C827" s="19" t="str">
        <f>VLOOKUP($B827,[1]ORÇ_ANALITICO!$A$10:$K$137,2,0)</f>
        <v>15.005.0215-0</v>
      </c>
      <c r="D827" s="157" t="str">
        <f>VLOOKUP($C827,[1]ORÇ_ANALITICO!$B$10:$L$137,4,0)</f>
        <v>ASSENTAMENTO DE AR-CONDICIONADO SPLIT DE 9000 A 30000 BTU/H,COM 1 CONDENSADOR E 1 EVAPORADOR,CONFORME ABNT NBR 16655,(VIDE FORNECIMENTO DO APARELHO NA FAMILIA 18.030) INCLUSIVE ACESSORIOS DE FIXACAO,EXCLUSIVE ALIMENTACAO ELETRICA E INTERLIGACAO CONDENSADOR/EVAPORADOR (VIDE ITEM 15.005.0240)</v>
      </c>
      <c r="E827" s="157" t="e">
        <f>VLOOKUP(D827,[1]ORÇ_ANALITICO!C691:M790,2,0)</f>
        <v>#VALUE!</v>
      </c>
      <c r="F827" s="157" t="e">
        <f>VLOOKUP(E827,[1]ORÇ_ANALITICO!E691:N790,2,0)</f>
        <v>#VALUE!</v>
      </c>
      <c r="G827" s="157" t="e">
        <f>VLOOKUP(F827,[1]ORÇ_ANALITICO!F691:O790,2,0)</f>
        <v>#VALUE!</v>
      </c>
      <c r="H827" s="157" t="e">
        <f>VLOOKUP(G827,[1]ORÇ_ANALITICO!G691:P790,2,0)</f>
        <v>#VALUE!</v>
      </c>
      <c r="I827" s="157" t="e">
        <f>VLOOKUP(H827,[1]ORÇ_ANALITICO!H691:Q790,2,0)</f>
        <v>#VALUE!</v>
      </c>
      <c r="J827" s="157" t="e">
        <f>VLOOKUP(I827,[1]ORÇ_ANALITICO!I691:R790,2,0)</f>
        <v>#VALUE!</v>
      </c>
      <c r="K827" s="157" t="e">
        <f>VLOOKUP(J827,[1]ORÇ_ANALITICO!J691:S790,2,0)</f>
        <v>#VALUE!</v>
      </c>
      <c r="L827" s="157" t="e">
        <f>VLOOKUP(K827,[1]ORÇ_ANALITICO!K691:T790,2,0)</f>
        <v>#VALUE!</v>
      </c>
      <c r="M827" s="157" t="e">
        <f>VLOOKUP(L827,[1]ORÇ_ANALITICO!L691:U790,2,0)</f>
        <v>#VALUE!</v>
      </c>
      <c r="N827" s="157" t="e">
        <f>VLOOKUP(M827,[1]ORÇ_ANALITICO!M691:V790,2,0)</f>
        <v>#VALUE!</v>
      </c>
      <c r="O827" s="20" t="str">
        <f>VLOOKUP($C827,[1]ORÇ_ANALITICO!$B$10:$L$137,5,0)</f>
        <v>UN</v>
      </c>
      <c r="P827" s="20">
        <f>F829</f>
        <v>3</v>
      </c>
      <c r="Q827" s="6"/>
    </row>
    <row r="828" spans="1:17" s="7" customFormat="1" ht="66" customHeight="1" x14ac:dyDescent="0.25">
      <c r="A828" s="8"/>
      <c r="B828" s="9"/>
      <c r="C828" s="99"/>
      <c r="D828" s="96"/>
      <c r="E828" s="100"/>
      <c r="F828" s="96"/>
      <c r="L828" s="10"/>
      <c r="P828" s="11"/>
      <c r="Q828" s="6"/>
    </row>
    <row r="829" spans="1:17" s="7" customFormat="1" ht="66" customHeight="1" x14ac:dyDescent="0.25">
      <c r="A829" s="8"/>
      <c r="B829" s="9"/>
      <c r="C829" s="22" t="s">
        <v>153</v>
      </c>
      <c r="D829" s="7" t="str">
        <f>[1]MEMORIA!B1424</f>
        <v>10.19</v>
      </c>
      <c r="E829" s="24" t="s">
        <v>12</v>
      </c>
      <c r="F829" s="48">
        <f>[1]MEMORIA!P1424</f>
        <v>3</v>
      </c>
      <c r="G829" s="48" t="s">
        <v>77</v>
      </c>
      <c r="L829" s="10"/>
      <c r="P829" s="11"/>
      <c r="Q829" s="6"/>
    </row>
    <row r="830" spans="1:17" s="7" customFormat="1" ht="66" customHeight="1" x14ac:dyDescent="0.25">
      <c r="A830" s="8"/>
      <c r="B830" s="9"/>
      <c r="C830" s="99"/>
      <c r="D830" s="96"/>
      <c r="E830" s="100"/>
      <c r="F830" s="96"/>
      <c r="L830" s="10"/>
      <c r="P830" s="11"/>
      <c r="Q830" s="6"/>
    </row>
    <row r="831" spans="1:17" s="7" customFormat="1" ht="66" customHeight="1" x14ac:dyDescent="0.25">
      <c r="A831" s="8"/>
      <c r="B831" s="18" t="s">
        <v>260</v>
      </c>
      <c r="C831" s="19" t="str">
        <f>VLOOKUP($B831,[1]ORÇ_ANALITICO!$A$10:$K$137,2,0)</f>
        <v>15.005.0220-0</v>
      </c>
      <c r="D831" s="157" t="str">
        <f>VLOOKUP($C831,[1]ORÇ_ANALITICO!$B$10:$L$137,4,0)</f>
        <v>ASSENTAMENTO DE AR-CONDICIONADO SPLIT DE 36000 A 60000 BTU/H,COM 1 CONDENSADOR E 1 EVAPORADOR,CONFORME ABNT NBR 16655,(VIDE FORNECIMENTO DO APARELHO NA FAMILIA 18.030) INCLUSIVE ACESSORIOS DE FIXACAO,EXCLUSIVE ALIMENTACAO ELETRICA E INTERLIGACAO CONDENSADOR/EVAPORADOR (VIDE ITEM 15.005.0245)</v>
      </c>
      <c r="E831" s="157" t="e">
        <f>VLOOKUP(D831,[1]ORÇ_ANALITICO!C695:M794,2,0)</f>
        <v>#VALUE!</v>
      </c>
      <c r="F831" s="157" t="e">
        <f>VLOOKUP(E831,[1]ORÇ_ANALITICO!E695:N794,2,0)</f>
        <v>#VALUE!</v>
      </c>
      <c r="G831" s="157" t="e">
        <f>VLOOKUP(F831,[1]ORÇ_ANALITICO!F695:O794,2,0)</f>
        <v>#VALUE!</v>
      </c>
      <c r="H831" s="157" t="e">
        <f>VLOOKUP(G831,[1]ORÇ_ANALITICO!G695:P794,2,0)</f>
        <v>#VALUE!</v>
      </c>
      <c r="I831" s="157" t="e">
        <f>VLOOKUP(H831,[1]ORÇ_ANALITICO!H695:Q794,2,0)</f>
        <v>#VALUE!</v>
      </c>
      <c r="J831" s="157" t="e">
        <f>VLOOKUP(I831,[1]ORÇ_ANALITICO!I695:R794,2,0)</f>
        <v>#VALUE!</v>
      </c>
      <c r="K831" s="157" t="e">
        <f>VLOOKUP(J831,[1]ORÇ_ANALITICO!J695:S794,2,0)</f>
        <v>#VALUE!</v>
      </c>
      <c r="L831" s="157" t="e">
        <f>VLOOKUP(K831,[1]ORÇ_ANALITICO!K695:T794,2,0)</f>
        <v>#VALUE!</v>
      </c>
      <c r="M831" s="157" t="e">
        <f>VLOOKUP(L831,[1]ORÇ_ANALITICO!L695:U794,2,0)</f>
        <v>#VALUE!</v>
      </c>
      <c r="N831" s="157" t="e">
        <f>VLOOKUP(M831,[1]ORÇ_ANALITICO!M695:V794,2,0)</f>
        <v>#VALUE!</v>
      </c>
      <c r="O831" s="20" t="str">
        <f>VLOOKUP($C831,[1]ORÇ_ANALITICO!$B$10:$L$137,5,0)</f>
        <v>UN</v>
      </c>
      <c r="P831" s="20">
        <f>F833</f>
        <v>1</v>
      </c>
      <c r="Q831" s="6"/>
    </row>
    <row r="832" spans="1:17" s="7" customFormat="1" ht="66" customHeight="1" x14ac:dyDescent="0.25">
      <c r="A832" s="8"/>
      <c r="B832" s="9"/>
      <c r="C832" s="99"/>
      <c r="D832" s="96"/>
      <c r="E832" s="100"/>
      <c r="F832" s="96"/>
      <c r="L832" s="10"/>
      <c r="P832" s="11"/>
      <c r="Q832" s="6"/>
    </row>
    <row r="833" spans="1:17" s="7" customFormat="1" ht="66" customHeight="1" x14ac:dyDescent="0.25">
      <c r="A833" s="8"/>
      <c r="B833" s="9"/>
      <c r="C833" s="22" t="s">
        <v>153</v>
      </c>
      <c r="D833" s="7" t="str">
        <f>[1]MEMORIA!B1434</f>
        <v>10.20</v>
      </c>
      <c r="E833" s="24" t="s">
        <v>12</v>
      </c>
      <c r="F833" s="48">
        <f>[1]MEMORIA!P1434</f>
        <v>1</v>
      </c>
      <c r="G833" s="48" t="s">
        <v>77</v>
      </c>
      <c r="L833" s="10"/>
      <c r="P833" s="11"/>
      <c r="Q833" s="6"/>
    </row>
    <row r="834" spans="1:17" s="7" customFormat="1" ht="66" customHeight="1" x14ac:dyDescent="0.25">
      <c r="A834" s="8"/>
      <c r="B834" s="9"/>
      <c r="C834" s="99"/>
      <c r="D834" s="96"/>
      <c r="E834" s="100"/>
      <c r="F834" s="96"/>
      <c r="L834" s="10"/>
      <c r="P834" s="11"/>
      <c r="Q834" s="6"/>
    </row>
    <row r="835" spans="1:17" s="7" customFormat="1" ht="66" customHeight="1" x14ac:dyDescent="0.25">
      <c r="A835" s="8"/>
      <c r="B835" s="18" t="s">
        <v>261</v>
      </c>
      <c r="C835" s="19" t="str">
        <f>VLOOKUP($B835,[1]ORÇ_ANALITICO!$A$10:$K$137,2,0)</f>
        <v>15.005.0220-0</v>
      </c>
      <c r="D835" s="157" t="str">
        <f>VLOOKUP($C835,[1]ORÇ_ANALITICO!$B$10:$L$137,4,0)</f>
        <v>ASSENTAMENTO DE AR-CONDICIONADO SPLIT DE 36000 A 60000 BTU/H,COM 1 CONDENSADOR E 1 EVAPORADOR,CONFORME ABNT NBR 16655,(VIDE FORNECIMENTO DO APARELHO NA FAMILIA 18.030) INCLUSIVE ACESSORIOS DE FIXACAO,EXCLUSIVE ALIMENTACAO ELETRICA E INTERLIGACAO CONDENSADOR/EVAPORADOR (VIDE ITEM 15.005.0245)</v>
      </c>
      <c r="E835" s="157" t="e">
        <f>VLOOKUP(D835,[1]ORÇ_ANALITICO!C699:M798,2,0)</f>
        <v>#VALUE!</v>
      </c>
      <c r="F835" s="157" t="e">
        <f>VLOOKUP(E835,[1]ORÇ_ANALITICO!E699:N798,2,0)</f>
        <v>#VALUE!</v>
      </c>
      <c r="G835" s="157" t="e">
        <f>VLOOKUP(F835,[1]ORÇ_ANALITICO!F699:O798,2,0)</f>
        <v>#VALUE!</v>
      </c>
      <c r="H835" s="157" t="e">
        <f>VLOOKUP(G835,[1]ORÇ_ANALITICO!G699:P798,2,0)</f>
        <v>#VALUE!</v>
      </c>
      <c r="I835" s="157" t="e">
        <f>VLOOKUP(H835,[1]ORÇ_ANALITICO!H699:Q798,2,0)</f>
        <v>#VALUE!</v>
      </c>
      <c r="J835" s="157" t="e">
        <f>VLOOKUP(I835,[1]ORÇ_ANALITICO!I699:R798,2,0)</f>
        <v>#VALUE!</v>
      </c>
      <c r="K835" s="157" t="e">
        <f>VLOOKUP(J835,[1]ORÇ_ANALITICO!J699:S798,2,0)</f>
        <v>#VALUE!</v>
      </c>
      <c r="L835" s="157" t="e">
        <f>VLOOKUP(K835,[1]ORÇ_ANALITICO!K699:T798,2,0)</f>
        <v>#VALUE!</v>
      </c>
      <c r="M835" s="157" t="e">
        <f>VLOOKUP(L835,[1]ORÇ_ANALITICO!L699:U798,2,0)</f>
        <v>#VALUE!</v>
      </c>
      <c r="N835" s="157" t="e">
        <f>VLOOKUP(M835,[1]ORÇ_ANALITICO!M699:V798,2,0)</f>
        <v>#VALUE!</v>
      </c>
      <c r="O835" s="20" t="str">
        <f>VLOOKUP($C835,[1]ORÇ_ANALITICO!$B$10:$L$137,5,0)</f>
        <v>UN</v>
      </c>
      <c r="P835" s="20">
        <f>F837</f>
        <v>2</v>
      </c>
      <c r="Q835" s="6"/>
    </row>
    <row r="836" spans="1:17" s="7" customFormat="1" ht="66" customHeight="1" x14ac:dyDescent="0.25">
      <c r="A836" s="8"/>
      <c r="B836" s="9"/>
      <c r="C836" s="99"/>
      <c r="D836" s="96"/>
      <c r="E836" s="100"/>
      <c r="F836" s="96"/>
      <c r="L836" s="10"/>
      <c r="P836" s="11"/>
      <c r="Q836" s="6"/>
    </row>
    <row r="837" spans="1:17" s="7" customFormat="1" ht="66" customHeight="1" x14ac:dyDescent="0.25">
      <c r="A837" s="8"/>
      <c r="B837" s="9"/>
      <c r="C837" s="22" t="s">
        <v>153</v>
      </c>
      <c r="D837" s="7" t="str">
        <f>[1]MEMORIA!B1442</f>
        <v>10.21</v>
      </c>
      <c r="E837" s="24" t="s">
        <v>12</v>
      </c>
      <c r="F837" s="48">
        <f>[1]MEMORIA!P1442</f>
        <v>2</v>
      </c>
      <c r="G837" s="48" t="s">
        <v>77</v>
      </c>
      <c r="L837" s="10"/>
      <c r="P837" s="11"/>
      <c r="Q837" s="6"/>
    </row>
    <row r="838" spans="1:17" s="7" customFormat="1" ht="66" customHeight="1" x14ac:dyDescent="0.25">
      <c r="A838" s="8"/>
      <c r="B838" s="9"/>
      <c r="C838" s="99"/>
      <c r="D838" s="96"/>
      <c r="E838" s="100"/>
      <c r="F838" s="96"/>
      <c r="L838" s="10"/>
      <c r="P838" s="11"/>
      <c r="Q838" s="6"/>
    </row>
    <row r="839" spans="1:17" s="7" customFormat="1" ht="66" customHeight="1" x14ac:dyDescent="0.25">
      <c r="A839" s="8"/>
      <c r="B839" s="18" t="s">
        <v>262</v>
      </c>
      <c r="C839" s="19" t="str">
        <f>VLOOKUP($B839,[1]ORÇ_ANALITICO!$A$10:$K$137,2,0)</f>
        <v>15.005.0240-0</v>
      </c>
      <c r="D839" s="157" t="str">
        <f>VLOOKUP($C839,[1]ORÇ_ANALITICO!$B$10:$L$137,4,0)</f>
        <v>TUBULACAO EM COBRE PARA INTERLIGACAO DE AR-CONDICIONADO SPLIT CONDENSADOR/EVAPORADOR,CONFORME ABNT NBR 16655,INCLUSIVE ISOLAMENTO TERMICO,INTERLIGACAO ELETRICA,CONEXOES E FIXACAO,PARA APARELHOS DE 9000 A 30000 BTU/H.FORNECIMENTO E INSTALACAO</v>
      </c>
      <c r="E839" s="157" t="e">
        <f>VLOOKUP(D839,[1]ORÇ_ANALITICO!C703:M802,2,0)</f>
        <v>#N/A</v>
      </c>
      <c r="F839" s="157" t="e">
        <f>VLOOKUP(E839,[1]ORÇ_ANALITICO!E703:N802,2,0)</f>
        <v>#N/A</v>
      </c>
      <c r="G839" s="157" t="e">
        <f>VLOOKUP(F839,[1]ORÇ_ANALITICO!F703:O802,2,0)</f>
        <v>#N/A</v>
      </c>
      <c r="H839" s="157" t="e">
        <f>VLOOKUP(G839,[1]ORÇ_ANALITICO!G703:P802,2,0)</f>
        <v>#N/A</v>
      </c>
      <c r="I839" s="157" t="e">
        <f>VLOOKUP(H839,[1]ORÇ_ANALITICO!H703:Q802,2,0)</f>
        <v>#N/A</v>
      </c>
      <c r="J839" s="157" t="e">
        <f>VLOOKUP(I839,[1]ORÇ_ANALITICO!I703:R802,2,0)</f>
        <v>#N/A</v>
      </c>
      <c r="K839" s="157" t="e">
        <f>VLOOKUP(J839,[1]ORÇ_ANALITICO!J703:S802,2,0)</f>
        <v>#N/A</v>
      </c>
      <c r="L839" s="157" t="e">
        <f>VLOOKUP(K839,[1]ORÇ_ANALITICO!K703:T802,2,0)</f>
        <v>#N/A</v>
      </c>
      <c r="M839" s="157" t="e">
        <f>VLOOKUP(L839,[1]ORÇ_ANALITICO!L703:U802,2,0)</f>
        <v>#N/A</v>
      </c>
      <c r="N839" s="157" t="e">
        <f>VLOOKUP(M839,[1]ORÇ_ANALITICO!M703:V802,2,0)</f>
        <v>#N/A</v>
      </c>
      <c r="O839" s="20" t="str">
        <f>VLOOKUP($C839,[1]ORÇ_ANALITICO!$B$10:$L$137,5,0)</f>
        <v>M</v>
      </c>
      <c r="P839" s="20">
        <f>F841</f>
        <v>70</v>
      </c>
      <c r="Q839" s="6"/>
    </row>
    <row r="840" spans="1:17" s="7" customFormat="1" ht="66" customHeight="1" x14ac:dyDescent="0.25">
      <c r="A840" s="8"/>
      <c r="B840" s="9"/>
      <c r="C840" s="99"/>
      <c r="D840" s="96"/>
      <c r="E840" s="100"/>
      <c r="F840" s="96"/>
      <c r="L840" s="10"/>
      <c r="P840" s="11"/>
      <c r="Q840" s="6"/>
    </row>
    <row r="841" spans="1:17" s="7" customFormat="1" ht="66" customHeight="1" x14ac:dyDescent="0.25">
      <c r="A841" s="8"/>
      <c r="B841" s="9"/>
      <c r="C841" s="93" t="s">
        <v>263</v>
      </c>
      <c r="D841" s="96"/>
      <c r="E841" s="24" t="s">
        <v>12</v>
      </c>
      <c r="F841" s="51">
        <f>5*(F813+F817+F821+F825+F829+F833+F837)</f>
        <v>70</v>
      </c>
      <c r="G841" s="51" t="s">
        <v>158</v>
      </c>
      <c r="L841" s="10"/>
      <c r="P841" s="11"/>
      <c r="Q841" s="6"/>
    </row>
    <row r="842" spans="1:17" s="7" customFormat="1" ht="66" customHeight="1" x14ac:dyDescent="0.25">
      <c r="A842" s="8"/>
      <c r="B842" s="9"/>
      <c r="C842" s="99"/>
      <c r="D842" s="96"/>
      <c r="E842" s="100"/>
      <c r="F842" s="96"/>
      <c r="L842" s="10"/>
      <c r="P842" s="11"/>
      <c r="Q842" s="6"/>
    </row>
    <row r="843" spans="1:17" s="7" customFormat="1" ht="66" customHeight="1" x14ac:dyDescent="0.25">
      <c r="A843" s="8"/>
      <c r="B843" s="18" t="s">
        <v>264</v>
      </c>
      <c r="C843" s="19" t="str">
        <f>VLOOKUP($B843,[1]ORÇ_ANALITICO!$A$10:$K$137,2,0)</f>
        <v>15.015.0171-0</v>
      </c>
      <c r="D843" s="157" t="str">
        <f>VLOOKUP($C843,[1]ORÇ_ANALITICO!$B$10:$L$137,4,0)</f>
        <v>INSTALACAO DE PONTO DE FORCA ATE 2CV,EQUIVALENTE A 2 VARAS DE ELETRODUTO DE PVC RIGIDO DE 1/2",20,00M DE FIO 2,5MM2,CAIXAS E CONEXOES</v>
      </c>
      <c r="E843" s="157" t="e">
        <f>VLOOKUP(D843,[1]ORÇ_ANALITICO!C707:M806,2,0)</f>
        <v>#N/A</v>
      </c>
      <c r="F843" s="157" t="e">
        <f>VLOOKUP(E843,[1]ORÇ_ANALITICO!E707:N806,2,0)</f>
        <v>#N/A</v>
      </c>
      <c r="G843" s="157" t="e">
        <f>VLOOKUP(F843,[1]ORÇ_ANALITICO!F707:O806,2,0)</f>
        <v>#N/A</v>
      </c>
      <c r="H843" s="157" t="e">
        <f>VLOOKUP(G843,[1]ORÇ_ANALITICO!G707:P806,2,0)</f>
        <v>#N/A</v>
      </c>
      <c r="I843" s="157" t="e">
        <f>VLOOKUP(H843,[1]ORÇ_ANALITICO!H707:Q806,2,0)</f>
        <v>#N/A</v>
      </c>
      <c r="J843" s="157" t="e">
        <f>VLOOKUP(I843,[1]ORÇ_ANALITICO!I707:R806,2,0)</f>
        <v>#N/A</v>
      </c>
      <c r="K843" s="157" t="e">
        <f>VLOOKUP(J843,[1]ORÇ_ANALITICO!J707:S806,2,0)</f>
        <v>#N/A</v>
      </c>
      <c r="L843" s="157" t="e">
        <f>VLOOKUP(K843,[1]ORÇ_ANALITICO!K707:T806,2,0)</f>
        <v>#N/A</v>
      </c>
      <c r="M843" s="157" t="e">
        <f>VLOOKUP(L843,[1]ORÇ_ANALITICO!L707:U806,2,0)</f>
        <v>#N/A</v>
      </c>
      <c r="N843" s="157" t="e">
        <f>VLOOKUP(M843,[1]ORÇ_ANALITICO!M707:V806,2,0)</f>
        <v>#N/A</v>
      </c>
      <c r="O843" s="20" t="str">
        <f>VLOOKUP($C843,[1]ORÇ_ANALITICO!$B$10:$L$137,5,0)</f>
        <v>UN</v>
      </c>
      <c r="P843" s="20">
        <f>F847</f>
        <v>3</v>
      </c>
      <c r="Q843" s="6"/>
    </row>
    <row r="844" spans="1:17" s="7" customFormat="1" ht="66" customHeight="1" x14ac:dyDescent="0.25">
      <c r="A844" s="8"/>
      <c r="B844" s="9"/>
      <c r="C844" s="99"/>
      <c r="D844" s="96"/>
      <c r="E844" s="100"/>
      <c r="F844" s="96"/>
      <c r="L844" s="10"/>
      <c r="P844" s="11"/>
      <c r="Q844" s="6"/>
    </row>
    <row r="845" spans="1:17" s="7" customFormat="1" ht="66" customHeight="1" x14ac:dyDescent="0.25">
      <c r="A845" s="8"/>
      <c r="B845" s="9"/>
      <c r="C845" s="93" t="s">
        <v>265</v>
      </c>
      <c r="D845" s="96"/>
      <c r="E845" s="24" t="s">
        <v>12</v>
      </c>
      <c r="F845" s="56">
        <f>P811</f>
        <v>1</v>
      </c>
      <c r="G845" s="51" t="s">
        <v>266</v>
      </c>
      <c r="I845" s="7">
        <v>813</v>
      </c>
      <c r="J845" s="50" t="s">
        <v>267</v>
      </c>
      <c r="K845" s="51" t="s">
        <v>24</v>
      </c>
      <c r="L845" s="51">
        <f>ROUND((I845*F845)/1000,2)</f>
        <v>0.81</v>
      </c>
      <c r="M845" s="50" t="s">
        <v>268</v>
      </c>
      <c r="P845" s="11"/>
      <c r="Q845" s="6"/>
    </row>
    <row r="846" spans="1:17" s="7" customFormat="1" ht="66" customHeight="1" x14ac:dyDescent="0.25">
      <c r="A846" s="8"/>
      <c r="B846" s="9"/>
      <c r="C846" s="93" t="s">
        <v>269</v>
      </c>
      <c r="D846" s="96"/>
      <c r="E846" s="24" t="s">
        <v>12</v>
      </c>
      <c r="F846" s="56">
        <f>P815</f>
        <v>2</v>
      </c>
      <c r="G846" s="51" t="s">
        <v>266</v>
      </c>
      <c r="I846" s="7">
        <v>1083</v>
      </c>
      <c r="J846" s="50" t="s">
        <v>267</v>
      </c>
      <c r="K846" s="51" t="s">
        <v>24</v>
      </c>
      <c r="L846" s="51">
        <f>ROUND((I846*F846)/1000,2)</f>
        <v>2.17</v>
      </c>
      <c r="M846" s="50" t="s">
        <v>268</v>
      </c>
      <c r="P846" s="11"/>
      <c r="Q846" s="6"/>
    </row>
    <row r="847" spans="1:17" s="7" customFormat="1" ht="66" customHeight="1" x14ac:dyDescent="0.25">
      <c r="A847" s="8"/>
      <c r="B847" s="9"/>
      <c r="C847" s="99"/>
      <c r="D847" s="96"/>
      <c r="E847" s="24" t="s">
        <v>12</v>
      </c>
      <c r="F847" s="56">
        <f>F845+F846</f>
        <v>3</v>
      </c>
      <c r="G847" s="51" t="s">
        <v>266</v>
      </c>
      <c r="L847" s="10"/>
      <c r="P847" s="11"/>
      <c r="Q847" s="6"/>
    </row>
    <row r="848" spans="1:17" s="7" customFormat="1" ht="66" customHeight="1" x14ac:dyDescent="0.25">
      <c r="A848" s="8"/>
      <c r="B848" s="9"/>
      <c r="C848" s="99"/>
      <c r="D848" s="96"/>
      <c r="E848" s="24"/>
      <c r="F848" s="56"/>
      <c r="G848" s="51"/>
      <c r="L848" s="10"/>
      <c r="P848" s="11"/>
      <c r="Q848" s="6"/>
    </row>
    <row r="849" spans="1:19" s="7" customFormat="1" ht="66" customHeight="1" x14ac:dyDescent="0.25">
      <c r="A849" s="8"/>
      <c r="B849" s="18" t="s">
        <v>270</v>
      </c>
      <c r="C849" s="19" t="str">
        <f>VLOOKUP($B849,[1]ORÇ_ANALITICO!$A$10:$K$137,2,0)</f>
        <v>15.015.0173-0</v>
      </c>
      <c r="D849" s="157" t="str">
        <f>VLOOKUP($C849,[1]ORÇ_ANALITICO!$B$10:$L$137,4,0)</f>
        <v>INSTALACAO DE PONTO DE FORCA ATE 4CV,EQUIVALENTE A 2 VARAS DE ELETRODUTO DE PVC RIGIDO DE 3/4",20,00M DE FIO 4MM2,CAIXASE CONEXOES</v>
      </c>
      <c r="E849" s="157" t="e">
        <f>VLOOKUP(D849,[1]ORÇ_ANALITICO!C713:M812,2,0)</f>
        <v>#N/A</v>
      </c>
      <c r="F849" s="157" t="e">
        <f>VLOOKUP(E849,[1]ORÇ_ANALITICO!E713:N812,2,0)</f>
        <v>#N/A</v>
      </c>
      <c r="G849" s="157" t="e">
        <f>VLOOKUP(F849,[1]ORÇ_ANALITICO!F713:O812,2,0)</f>
        <v>#N/A</v>
      </c>
      <c r="H849" s="157" t="e">
        <f>VLOOKUP(G849,[1]ORÇ_ANALITICO!G713:P812,2,0)</f>
        <v>#N/A</v>
      </c>
      <c r="I849" s="157" t="e">
        <f>VLOOKUP(H849,[1]ORÇ_ANALITICO!H713:Q812,2,0)</f>
        <v>#N/A</v>
      </c>
      <c r="J849" s="157" t="e">
        <f>VLOOKUP(I849,[1]ORÇ_ANALITICO!I713:R812,2,0)</f>
        <v>#N/A</v>
      </c>
      <c r="K849" s="157" t="e">
        <f>VLOOKUP(J849,[1]ORÇ_ANALITICO!J713:S812,2,0)</f>
        <v>#N/A</v>
      </c>
      <c r="L849" s="157" t="e">
        <f>VLOOKUP(K849,[1]ORÇ_ANALITICO!K713:T812,2,0)</f>
        <v>#N/A</v>
      </c>
      <c r="M849" s="157" t="e">
        <f>VLOOKUP(L849,[1]ORÇ_ANALITICO!L713:U812,2,0)</f>
        <v>#N/A</v>
      </c>
      <c r="N849" s="157" t="e">
        <f>VLOOKUP(M849,[1]ORÇ_ANALITICO!M713:V812,2,0)</f>
        <v>#N/A</v>
      </c>
      <c r="O849" s="20" t="str">
        <f>VLOOKUP($C849,[1]ORÇ_ANALITICO!$B$10:$L$137,5,0)</f>
        <v>UN</v>
      </c>
      <c r="P849" s="20">
        <f>F853</f>
        <v>5</v>
      </c>
      <c r="Q849" s="6"/>
    </row>
    <row r="850" spans="1:19" s="7" customFormat="1" ht="66" customHeight="1" x14ac:dyDescent="0.25">
      <c r="A850" s="8"/>
      <c r="B850" s="9"/>
      <c r="C850" s="99"/>
      <c r="D850" s="96"/>
      <c r="E850" s="100"/>
      <c r="F850" s="96"/>
      <c r="L850" s="10"/>
      <c r="P850" s="11"/>
      <c r="Q850" s="6"/>
    </row>
    <row r="851" spans="1:19" s="7" customFormat="1" ht="66" customHeight="1" x14ac:dyDescent="0.25">
      <c r="A851" s="8"/>
      <c r="B851" s="9"/>
      <c r="C851" s="93" t="s">
        <v>271</v>
      </c>
      <c r="D851" s="96"/>
      <c r="E851" s="24" t="s">
        <v>12</v>
      </c>
      <c r="F851" s="56">
        <f>P819</f>
        <v>2</v>
      </c>
      <c r="G851" s="51" t="s">
        <v>266</v>
      </c>
      <c r="I851" s="7">
        <v>1623</v>
      </c>
      <c r="J851" s="50" t="s">
        <v>267</v>
      </c>
      <c r="K851" s="51" t="s">
        <v>24</v>
      </c>
      <c r="L851" s="51">
        <f>ROUND((I851*F851)/1000,2)</f>
        <v>3.25</v>
      </c>
      <c r="M851" s="50" t="s">
        <v>268</v>
      </c>
      <c r="P851" s="11"/>
      <c r="Q851" s="6"/>
    </row>
    <row r="852" spans="1:19" s="7" customFormat="1" ht="66" customHeight="1" x14ac:dyDescent="0.25">
      <c r="A852" s="8"/>
      <c r="B852" s="9"/>
      <c r="C852" s="93" t="s">
        <v>272</v>
      </c>
      <c r="D852" s="96"/>
      <c r="E852" s="24" t="s">
        <v>12</v>
      </c>
      <c r="F852" s="56">
        <f>P823</f>
        <v>3</v>
      </c>
      <c r="G852" s="51" t="s">
        <v>266</v>
      </c>
      <c r="I852" s="7">
        <v>2167</v>
      </c>
      <c r="J852" s="50" t="s">
        <v>267</v>
      </c>
      <c r="K852" s="51" t="s">
        <v>24</v>
      </c>
      <c r="L852" s="56">
        <f>ROUND((I852*F852)/1000,2)</f>
        <v>6.5</v>
      </c>
      <c r="M852" s="50" t="s">
        <v>268</v>
      </c>
      <c r="P852" s="11"/>
      <c r="Q852" s="6"/>
    </row>
    <row r="853" spans="1:19" s="7" customFormat="1" ht="66" customHeight="1" x14ac:dyDescent="0.25">
      <c r="A853" s="8"/>
      <c r="B853" s="9"/>
      <c r="C853" s="99"/>
      <c r="D853" s="96"/>
      <c r="E853" s="24" t="s">
        <v>12</v>
      </c>
      <c r="F853" s="56">
        <f>F851+F852</f>
        <v>5</v>
      </c>
      <c r="G853" s="51" t="s">
        <v>266</v>
      </c>
      <c r="L853" s="10"/>
      <c r="P853" s="11"/>
      <c r="Q853" s="6"/>
    </row>
    <row r="854" spans="1:19" s="7" customFormat="1" ht="66" customHeight="1" x14ac:dyDescent="0.25">
      <c r="A854" s="8"/>
      <c r="B854" s="9"/>
      <c r="C854" s="99"/>
      <c r="D854" s="96"/>
      <c r="E854" s="24"/>
      <c r="F854" s="56"/>
      <c r="G854" s="51"/>
      <c r="L854" s="10"/>
      <c r="P854" s="11"/>
      <c r="Q854" s="6"/>
    </row>
    <row r="855" spans="1:19" s="7" customFormat="1" ht="66" customHeight="1" x14ac:dyDescent="0.25">
      <c r="A855" s="8"/>
      <c r="B855" s="18" t="s">
        <v>273</v>
      </c>
      <c r="C855" s="19" t="str">
        <f>VLOOKUP($B855,[1]ORÇ_ANALITICO!$A$10:$K$137,2,0)</f>
        <v>15.015.0175-0</v>
      </c>
      <c r="D855" s="157" t="str">
        <f>VLOOKUP($C855,[1]ORÇ_ANALITICO!$B$10:$L$137,4,0)</f>
        <v>INSTALACAO DE PONTO DE FORCA PARA 5CV,EQUIVALENTE A 2 VARASDE ELETRODUTO DE PVC RIGIDO DE 3/4",20,00M DE FIO 4MM2,CAIXAS E CONEXOES</v>
      </c>
      <c r="E855" s="157" t="e">
        <f>VLOOKUP(D855,[1]ORÇ_ANALITICO!C719:M818,2,0)</f>
        <v>#N/A</v>
      </c>
      <c r="F855" s="157" t="e">
        <f>VLOOKUP(E855,[1]ORÇ_ANALITICO!E719:N818,2,0)</f>
        <v>#N/A</v>
      </c>
      <c r="G855" s="157" t="e">
        <f>VLOOKUP(F855,[1]ORÇ_ANALITICO!F719:O818,2,0)</f>
        <v>#N/A</v>
      </c>
      <c r="H855" s="157" t="e">
        <f>VLOOKUP(G855,[1]ORÇ_ANALITICO!G719:P818,2,0)</f>
        <v>#N/A</v>
      </c>
      <c r="I855" s="157" t="e">
        <f>VLOOKUP(H855,[1]ORÇ_ANALITICO!H719:Q818,2,0)</f>
        <v>#N/A</v>
      </c>
      <c r="J855" s="157" t="e">
        <f>VLOOKUP(I855,[1]ORÇ_ANALITICO!I719:R818,2,0)</f>
        <v>#N/A</v>
      </c>
      <c r="K855" s="157" t="e">
        <f>VLOOKUP(J855,[1]ORÇ_ANALITICO!J719:S818,2,0)</f>
        <v>#N/A</v>
      </c>
      <c r="L855" s="157" t="e">
        <f>VLOOKUP(K855,[1]ORÇ_ANALITICO!K719:T818,2,0)</f>
        <v>#N/A</v>
      </c>
      <c r="M855" s="157" t="e">
        <f>VLOOKUP(L855,[1]ORÇ_ANALITICO!L719:U818,2,0)</f>
        <v>#N/A</v>
      </c>
      <c r="N855" s="157" t="e">
        <f>VLOOKUP(M855,[1]ORÇ_ANALITICO!M719:V818,2,0)</f>
        <v>#N/A</v>
      </c>
      <c r="O855" s="20" t="str">
        <f>VLOOKUP($C855,[1]ORÇ_ANALITICO!$B$10:$L$137,5,0)</f>
        <v>UN</v>
      </c>
      <c r="P855" s="20">
        <f>F859</f>
        <v>4</v>
      </c>
      <c r="Q855" s="6"/>
      <c r="R855" s="101">
        <f>L845+L846+L851+L852+L857+L858+L862</f>
        <v>32.619999999999997</v>
      </c>
      <c r="S855" s="50" t="s">
        <v>268</v>
      </c>
    </row>
    <row r="856" spans="1:19" s="7" customFormat="1" ht="66" customHeight="1" x14ac:dyDescent="0.25">
      <c r="A856" s="8"/>
      <c r="B856" s="9"/>
      <c r="C856" s="99"/>
      <c r="D856" s="96"/>
      <c r="E856" s="100"/>
      <c r="F856" s="96"/>
      <c r="L856" s="10"/>
      <c r="P856" s="11"/>
      <c r="Q856" s="6"/>
    </row>
    <row r="857" spans="1:19" s="7" customFormat="1" ht="66" customHeight="1" x14ac:dyDescent="0.25">
      <c r="A857" s="8"/>
      <c r="B857" s="9"/>
      <c r="C857" s="93" t="s">
        <v>274</v>
      </c>
      <c r="D857" s="96"/>
      <c r="E857" s="24" t="s">
        <v>12</v>
      </c>
      <c r="F857" s="56">
        <f>P827</f>
        <v>3</v>
      </c>
      <c r="G857" s="51" t="s">
        <v>266</v>
      </c>
      <c r="I857" s="7">
        <v>2650</v>
      </c>
      <c r="J857" s="50" t="s">
        <v>267</v>
      </c>
      <c r="K857" s="51" t="s">
        <v>24</v>
      </c>
      <c r="L857" s="51">
        <f>ROUND((I857*F857)/1000,2)</f>
        <v>7.95</v>
      </c>
      <c r="M857" s="50" t="s">
        <v>268</v>
      </c>
      <c r="P857" s="11"/>
      <c r="Q857" s="6"/>
    </row>
    <row r="858" spans="1:19" s="7" customFormat="1" ht="66" customHeight="1" x14ac:dyDescent="0.25">
      <c r="A858" s="8"/>
      <c r="B858" s="9"/>
      <c r="C858" s="93" t="s">
        <v>275</v>
      </c>
      <c r="D858" s="96"/>
      <c r="E858" s="24" t="s">
        <v>12</v>
      </c>
      <c r="F858" s="56">
        <f>P831</f>
        <v>1</v>
      </c>
      <c r="G858" s="51" t="s">
        <v>266</v>
      </c>
      <c r="I858" s="7">
        <v>3255</v>
      </c>
      <c r="J858" s="50" t="s">
        <v>267</v>
      </c>
      <c r="K858" s="51" t="s">
        <v>24</v>
      </c>
      <c r="L858" s="56">
        <f>ROUND((I858*F858)/1000,2)</f>
        <v>3.26</v>
      </c>
      <c r="M858" s="50" t="s">
        <v>268</v>
      </c>
      <c r="P858" s="11"/>
      <c r="Q858" s="6"/>
    </row>
    <row r="859" spans="1:19" s="7" customFormat="1" ht="66" customHeight="1" x14ac:dyDescent="0.25">
      <c r="A859" s="8"/>
      <c r="B859" s="9"/>
      <c r="C859" s="99"/>
      <c r="D859" s="96"/>
      <c r="E859" s="24" t="s">
        <v>12</v>
      </c>
      <c r="F859" s="56">
        <f>F857+F858</f>
        <v>4</v>
      </c>
      <c r="G859" s="51" t="s">
        <v>266</v>
      </c>
      <c r="L859" s="10"/>
      <c r="P859" s="11"/>
      <c r="Q859" s="6"/>
    </row>
    <row r="860" spans="1:19" s="7" customFormat="1" ht="66" customHeight="1" x14ac:dyDescent="0.25">
      <c r="A860" s="8"/>
      <c r="B860" s="18" t="s">
        <v>276</v>
      </c>
      <c r="C860" s="19" t="str">
        <f>VLOOKUP($B860,[1]ORÇ_ANALITICO!$A$10:$K$137,2,0)</f>
        <v>15.015.0177-0</v>
      </c>
      <c r="D860" s="157" t="str">
        <f>VLOOKUP($C860,[1]ORÇ_ANALITICO!$B$10:$L$137,4,0)</f>
        <v>INSTALACAO DE PONTO DE FORCA PARA 10CV,EQUIVALENTE A 2 VARASDE ELETRODUTO DE PVC RIGIDO DE 1",20,00M DE FIO 6MM2,CAIXASE CONEXOES</v>
      </c>
      <c r="E860" s="157" t="e">
        <f>VLOOKUP(D860,[1]ORÇ_ANALITICO!C724:M823,2,0)</f>
        <v>#N/A</v>
      </c>
      <c r="F860" s="157" t="e">
        <f>VLOOKUP(E860,[1]ORÇ_ANALITICO!E724:N823,2,0)</f>
        <v>#N/A</v>
      </c>
      <c r="G860" s="157" t="e">
        <f>VLOOKUP(F860,[1]ORÇ_ANALITICO!F724:O823,2,0)</f>
        <v>#N/A</v>
      </c>
      <c r="H860" s="157" t="e">
        <f>VLOOKUP(G860,[1]ORÇ_ANALITICO!G724:P823,2,0)</f>
        <v>#N/A</v>
      </c>
      <c r="I860" s="157" t="e">
        <f>VLOOKUP(H860,[1]ORÇ_ANALITICO!H724:Q823,2,0)</f>
        <v>#N/A</v>
      </c>
      <c r="J860" s="157" t="e">
        <f>VLOOKUP(I860,[1]ORÇ_ANALITICO!I724:R823,2,0)</f>
        <v>#N/A</v>
      </c>
      <c r="K860" s="157" t="e">
        <f>VLOOKUP(J860,[1]ORÇ_ANALITICO!J724:S823,2,0)</f>
        <v>#N/A</v>
      </c>
      <c r="L860" s="157" t="e">
        <f>VLOOKUP(K860,[1]ORÇ_ANALITICO!K724:T823,2,0)</f>
        <v>#N/A</v>
      </c>
      <c r="M860" s="157" t="e">
        <f>VLOOKUP(L860,[1]ORÇ_ANALITICO!L724:U823,2,0)</f>
        <v>#N/A</v>
      </c>
      <c r="N860" s="157" t="e">
        <f>VLOOKUP(M860,[1]ORÇ_ANALITICO!M724:V823,2,0)</f>
        <v>#N/A</v>
      </c>
      <c r="O860" s="20" t="str">
        <f>VLOOKUP($C860,[1]ORÇ_ANALITICO!$B$10:$L$137,5,0)</f>
        <v>UN</v>
      </c>
      <c r="P860" s="20">
        <f>F862</f>
        <v>2</v>
      </c>
      <c r="Q860" s="6"/>
    </row>
    <row r="861" spans="1:19" s="7" customFormat="1" ht="66" customHeight="1" x14ac:dyDescent="0.25">
      <c r="A861" s="8"/>
      <c r="B861" s="9"/>
      <c r="C861" s="99"/>
      <c r="D861" s="96"/>
      <c r="E861" s="100"/>
      <c r="F861" s="96"/>
      <c r="L861" s="10"/>
      <c r="P861" s="11"/>
      <c r="Q861" s="6"/>
    </row>
    <row r="862" spans="1:19" s="7" customFormat="1" ht="66" customHeight="1" x14ac:dyDescent="0.25">
      <c r="A862" s="8"/>
      <c r="B862" s="9"/>
      <c r="C862" s="93" t="s">
        <v>277</v>
      </c>
      <c r="D862" s="96"/>
      <c r="E862" s="24" t="s">
        <v>12</v>
      </c>
      <c r="F862" s="56">
        <f>P835</f>
        <v>2</v>
      </c>
      <c r="G862" s="51" t="s">
        <v>266</v>
      </c>
      <c r="I862" s="7">
        <v>4340</v>
      </c>
      <c r="J862" s="50" t="s">
        <v>267</v>
      </c>
      <c r="K862" s="51" t="s">
        <v>24</v>
      </c>
      <c r="L862" s="56">
        <f>ROUND((I862*F862)/1000,2)</f>
        <v>8.68</v>
      </c>
      <c r="M862" s="50" t="s">
        <v>268</v>
      </c>
      <c r="P862" s="11"/>
      <c r="Q862" s="6"/>
    </row>
    <row r="863" spans="1:19" s="7" customFormat="1" ht="66" customHeight="1" x14ac:dyDescent="0.25">
      <c r="A863" s="8"/>
      <c r="B863" s="9"/>
      <c r="C863" s="93"/>
      <c r="D863" s="96"/>
      <c r="E863" s="24"/>
      <c r="F863" s="56"/>
      <c r="G863" s="51"/>
      <c r="L863" s="10"/>
      <c r="P863" s="11"/>
      <c r="Q863" s="6"/>
    </row>
    <row r="864" spans="1:19" s="7" customFormat="1" ht="66" customHeight="1" x14ac:dyDescent="0.25">
      <c r="A864" s="8"/>
      <c r="B864" s="18" t="s">
        <v>278</v>
      </c>
      <c r="C864" s="19" t="str">
        <f>VLOOKUP($B864,[1]ORÇ_ANALITICO!$A$10:$K$137,2,0)</f>
        <v>15.007.0575-0</v>
      </c>
      <c r="D864" s="157" t="str">
        <f>VLOOKUP($C864,[1]ORÇ_ANALITICO!$B$10:$L$137,4,0)</f>
        <v>DISJUNTOR TERMOMAGNETICO,BIPOLAR,DE 10 A 32A,3KA,MODELO DIN,TIPO C.FORNECIMENTO E COLOCACAO</v>
      </c>
      <c r="E864" s="157" t="e">
        <f>VLOOKUP(D864,[1]ORÇ_ANALITICO!C728:M827,2,0)</f>
        <v>#N/A</v>
      </c>
      <c r="F864" s="157" t="e">
        <f>VLOOKUP(E864,[1]ORÇ_ANALITICO!E728:N827,2,0)</f>
        <v>#N/A</v>
      </c>
      <c r="G864" s="157" t="e">
        <f>VLOOKUP(F864,[1]ORÇ_ANALITICO!F728:O827,2,0)</f>
        <v>#N/A</v>
      </c>
      <c r="H864" s="157" t="e">
        <f>VLOOKUP(G864,[1]ORÇ_ANALITICO!G728:P827,2,0)</f>
        <v>#N/A</v>
      </c>
      <c r="I864" s="157" t="e">
        <f>VLOOKUP(H864,[1]ORÇ_ANALITICO!H728:Q827,2,0)</f>
        <v>#N/A</v>
      </c>
      <c r="J864" s="157" t="e">
        <f>VLOOKUP(I864,[1]ORÇ_ANALITICO!I728:R827,2,0)</f>
        <v>#N/A</v>
      </c>
      <c r="K864" s="157" t="e">
        <f>VLOOKUP(J864,[1]ORÇ_ANALITICO!J728:S827,2,0)</f>
        <v>#N/A</v>
      </c>
      <c r="L864" s="157" t="e">
        <f>VLOOKUP(K864,[1]ORÇ_ANALITICO!K728:T827,2,0)</f>
        <v>#N/A</v>
      </c>
      <c r="M864" s="157" t="e">
        <f>VLOOKUP(L864,[1]ORÇ_ANALITICO!L728:U827,2,0)</f>
        <v>#N/A</v>
      </c>
      <c r="N864" s="157" t="e">
        <f>VLOOKUP(M864,[1]ORÇ_ANALITICO!M728:V827,2,0)</f>
        <v>#N/A</v>
      </c>
      <c r="O864" s="20" t="str">
        <f>VLOOKUP($C864,[1]ORÇ_ANALITICO!$B$10:$L$137,5,0)</f>
        <v>UN</v>
      </c>
      <c r="P864" s="20">
        <f>F866</f>
        <v>14</v>
      </c>
      <c r="Q864" s="6"/>
    </row>
    <row r="865" spans="1:17" s="7" customFormat="1" ht="66" customHeight="1" x14ac:dyDescent="0.25">
      <c r="A865" s="8"/>
      <c r="B865" s="9"/>
      <c r="C865" s="99"/>
      <c r="D865" s="96"/>
      <c r="E865" s="24"/>
      <c r="F865" s="56"/>
      <c r="G865" s="51"/>
      <c r="L865" s="10"/>
      <c r="P865" s="11"/>
      <c r="Q865" s="6"/>
    </row>
    <row r="866" spans="1:17" s="7" customFormat="1" ht="66" customHeight="1" x14ac:dyDescent="0.25">
      <c r="A866" s="8"/>
      <c r="B866" s="9"/>
      <c r="C866" s="93" t="s">
        <v>279</v>
      </c>
      <c r="D866" s="96"/>
      <c r="E866" s="24" t="s">
        <v>12</v>
      </c>
      <c r="F866" s="56">
        <f>P843+P849+P855+P860</f>
        <v>14</v>
      </c>
      <c r="G866" s="51" t="s">
        <v>266</v>
      </c>
      <c r="L866" s="10"/>
      <c r="P866" s="11"/>
      <c r="Q866" s="6"/>
    </row>
    <row r="867" spans="1:17" s="7" customFormat="1" ht="66" customHeight="1" x14ac:dyDescent="0.25">
      <c r="A867" s="8"/>
      <c r="B867" s="9"/>
      <c r="C867" s="99"/>
      <c r="D867" s="96"/>
      <c r="E867" s="24"/>
      <c r="F867" s="56"/>
      <c r="G867" s="51"/>
      <c r="L867" s="10"/>
      <c r="P867" s="11"/>
      <c r="Q867" s="6"/>
    </row>
    <row r="868" spans="1:17" s="7" customFormat="1" ht="66" customHeight="1" x14ac:dyDescent="0.25">
      <c r="A868" s="8"/>
      <c r="B868" s="18" t="s">
        <v>280</v>
      </c>
      <c r="C868" s="19" t="str">
        <f>VLOOKUP($B868,[1]ORÇ_ANALITICO!$A$10:$K$137,2,0)</f>
        <v>15.011.0095-0</v>
      </c>
      <c r="D868" s="157" t="str">
        <f>VLOOKUP($C868,[1]ORÇ_ANALITICO!$B$10:$L$137,4,0)</f>
        <v>ENTRADA DE ENERGIA INDIVIDUAL,PADRAO LIGHT,MEDICAO DIRETA,REDE SUBTERRANEA,38KVA E 76KVA,INCLUSIVE CAIXA SECCIONADORA EMEDICAO (CSM200),CAIXA POLIMERICA DE PROTECAO GERAL (CPG200-P) INTERNA,CAIXA INSPECAO,3 HASTES E CONECTORES DE ATERRAMENTO E DEMAIS MATERIAIS NECESSARIOS,EXCLUSIVE DISJUNTOR E CONDUTORES (ENTRADA,SAIDA,ATERRAMENTO E RESPECTIVOS CONECTORES)</v>
      </c>
      <c r="E868" s="157" t="e">
        <f>VLOOKUP(D868,[1]ORÇ_ANALITICO!C732:M831,2,0)</f>
        <v>#VALUE!</v>
      </c>
      <c r="F868" s="157" t="e">
        <f>VLOOKUP(E868,[1]ORÇ_ANALITICO!E732:N831,2,0)</f>
        <v>#VALUE!</v>
      </c>
      <c r="G868" s="157" t="e">
        <f>VLOOKUP(F868,[1]ORÇ_ANALITICO!F732:O831,2,0)</f>
        <v>#VALUE!</v>
      </c>
      <c r="H868" s="157" t="e">
        <f>VLOOKUP(G868,[1]ORÇ_ANALITICO!G732:P831,2,0)</f>
        <v>#VALUE!</v>
      </c>
      <c r="I868" s="157" t="e">
        <f>VLOOKUP(H868,[1]ORÇ_ANALITICO!H732:Q831,2,0)</f>
        <v>#VALUE!</v>
      </c>
      <c r="J868" s="157" t="e">
        <f>VLOOKUP(I868,[1]ORÇ_ANALITICO!I732:R831,2,0)</f>
        <v>#VALUE!</v>
      </c>
      <c r="K868" s="157" t="e">
        <f>VLOOKUP(J868,[1]ORÇ_ANALITICO!J732:S831,2,0)</f>
        <v>#VALUE!</v>
      </c>
      <c r="L868" s="157" t="e">
        <f>VLOOKUP(K868,[1]ORÇ_ANALITICO!K732:T831,2,0)</f>
        <v>#VALUE!</v>
      </c>
      <c r="M868" s="157" t="e">
        <f>VLOOKUP(L868,[1]ORÇ_ANALITICO!L732:U831,2,0)</f>
        <v>#VALUE!</v>
      </c>
      <c r="N868" s="157" t="e">
        <f>VLOOKUP(M868,[1]ORÇ_ANALITICO!M732:V831,2,0)</f>
        <v>#VALUE!</v>
      </c>
      <c r="O868" s="20" t="str">
        <f>VLOOKUP($C868,[1]ORÇ_ANALITICO!$B$10:$L$137,5,0)</f>
        <v>UN</v>
      </c>
      <c r="P868" s="20">
        <f>F870</f>
        <v>1</v>
      </c>
      <c r="Q868" s="6"/>
    </row>
    <row r="869" spans="1:17" s="7" customFormat="1" ht="66" customHeight="1" x14ac:dyDescent="0.25">
      <c r="A869" s="8"/>
      <c r="B869" s="9"/>
      <c r="C869" s="99"/>
      <c r="D869" s="96"/>
      <c r="E869" s="24"/>
      <c r="F869" s="56"/>
      <c r="G869" s="51"/>
      <c r="L869" s="10"/>
      <c r="P869" s="11"/>
      <c r="Q869" s="6"/>
    </row>
    <row r="870" spans="1:17" s="7" customFormat="1" ht="66" customHeight="1" x14ac:dyDescent="0.25">
      <c r="A870" s="8"/>
      <c r="B870" s="9"/>
      <c r="C870" s="93" t="s">
        <v>281</v>
      </c>
      <c r="D870" s="96"/>
      <c r="E870" s="24" t="s">
        <v>12</v>
      </c>
      <c r="F870" s="56">
        <v>1</v>
      </c>
      <c r="G870" s="51" t="s">
        <v>266</v>
      </c>
      <c r="L870" s="10"/>
      <c r="P870" s="11"/>
      <c r="Q870" s="6"/>
    </row>
    <row r="871" spans="1:17" s="7" customFormat="1" ht="66" customHeight="1" x14ac:dyDescent="0.25">
      <c r="A871" s="8"/>
      <c r="B871" s="9"/>
      <c r="C871" s="93"/>
      <c r="D871" s="96"/>
      <c r="E871" s="24"/>
      <c r="F871" s="56"/>
      <c r="G871" s="51"/>
      <c r="L871" s="10"/>
      <c r="P871" s="11"/>
      <c r="Q871" s="6"/>
    </row>
    <row r="872" spans="1:17" s="7" customFormat="1" ht="66" customHeight="1" x14ac:dyDescent="0.25">
      <c r="A872" s="8"/>
      <c r="B872" s="18" t="s">
        <v>282</v>
      </c>
      <c r="C872" s="19" t="str">
        <f>VLOOKUP($B872,[1]ORÇ_ANALITICO!$A$10:$K$137,2,0)</f>
        <v>15.008.0112-0</v>
      </c>
      <c r="D872" s="157" t="str">
        <f>VLOOKUP($C872,[1]ORÇ_ANALITICO!$B$10:$L$137,4,0)</f>
        <v>CABO DE COBRE FLEXIVEL COM ISOLAMENTO TERMOPLASTICO,COMPREENDENDO:PREPARO,CORTE E ENFIACAO EM ELETRODUTOS,NA BITOLA DE 35MM2, 450/750V.FORNECIMENTO E COLOCACAO</v>
      </c>
      <c r="E872" s="157" t="e">
        <f>VLOOKUP(D872,[1]ORÇ_ANALITICO!C736:M835,2,0)</f>
        <v>#N/A</v>
      </c>
      <c r="F872" s="157" t="e">
        <f>VLOOKUP(E872,[1]ORÇ_ANALITICO!E736:N835,2,0)</f>
        <v>#N/A</v>
      </c>
      <c r="G872" s="157" t="e">
        <f>VLOOKUP(F872,[1]ORÇ_ANALITICO!F736:O835,2,0)</f>
        <v>#N/A</v>
      </c>
      <c r="H872" s="157" t="e">
        <f>VLOOKUP(G872,[1]ORÇ_ANALITICO!G736:P835,2,0)</f>
        <v>#N/A</v>
      </c>
      <c r="I872" s="157" t="e">
        <f>VLOOKUP(H872,[1]ORÇ_ANALITICO!H736:Q835,2,0)</f>
        <v>#N/A</v>
      </c>
      <c r="J872" s="157" t="e">
        <f>VLOOKUP(I872,[1]ORÇ_ANALITICO!I736:R835,2,0)</f>
        <v>#N/A</v>
      </c>
      <c r="K872" s="157" t="e">
        <f>VLOOKUP(J872,[1]ORÇ_ANALITICO!J736:S835,2,0)</f>
        <v>#N/A</v>
      </c>
      <c r="L872" s="157" t="e">
        <f>VLOOKUP(K872,[1]ORÇ_ANALITICO!K736:T835,2,0)</f>
        <v>#N/A</v>
      </c>
      <c r="M872" s="157" t="e">
        <f>VLOOKUP(L872,[1]ORÇ_ANALITICO!L736:U835,2,0)</f>
        <v>#N/A</v>
      </c>
      <c r="N872" s="157" t="e">
        <f>VLOOKUP(M872,[1]ORÇ_ANALITICO!M736:V835,2,0)</f>
        <v>#N/A</v>
      </c>
      <c r="O872" s="20" t="str">
        <f>VLOOKUP($C872,[1]ORÇ_ANALITICO!$B$10:$L$137,5,0)</f>
        <v>M</v>
      </c>
      <c r="P872" s="20">
        <f>F874</f>
        <v>130</v>
      </c>
      <c r="Q872" s="6"/>
    </row>
    <row r="873" spans="1:17" s="7" customFormat="1" ht="66" customHeight="1" x14ac:dyDescent="0.25">
      <c r="A873" s="8"/>
      <c r="B873" s="9"/>
      <c r="C873" s="99"/>
      <c r="D873" s="96"/>
      <c r="E873" s="24"/>
      <c r="F873" s="56"/>
      <c r="G873" s="51"/>
      <c r="L873" s="10"/>
      <c r="P873" s="11"/>
      <c r="Q873" s="6"/>
    </row>
    <row r="874" spans="1:17" s="7" customFormat="1" ht="66" customHeight="1" x14ac:dyDescent="0.25">
      <c r="A874" s="8"/>
      <c r="B874" s="9"/>
      <c r="C874" s="93" t="s">
        <v>283</v>
      </c>
      <c r="D874" s="96"/>
      <c r="E874" s="24" t="s">
        <v>12</v>
      </c>
      <c r="F874" s="56">
        <f>26*5</f>
        <v>130</v>
      </c>
      <c r="G874" s="51" t="s">
        <v>158</v>
      </c>
      <c r="H874" s="102" t="s">
        <v>284</v>
      </c>
      <c r="L874" s="10"/>
      <c r="P874" s="11"/>
      <c r="Q874" s="6"/>
    </row>
    <row r="875" spans="1:17" s="7" customFormat="1" ht="66" customHeight="1" x14ac:dyDescent="0.25">
      <c r="A875" s="8"/>
      <c r="B875" s="9"/>
      <c r="C875" s="99"/>
      <c r="D875" s="96"/>
      <c r="E875" s="24"/>
      <c r="F875" s="56"/>
      <c r="G875" s="51"/>
      <c r="L875" s="10"/>
      <c r="P875" s="11"/>
      <c r="Q875" s="6"/>
    </row>
    <row r="876" spans="1:17" s="7" customFormat="1" ht="66" customHeight="1" x14ac:dyDescent="0.25">
      <c r="A876" s="8"/>
      <c r="B876" s="158" t="str">
        <f>[1]ORÇ_ANALITICO!B91</f>
        <v>COBERTURA</v>
      </c>
      <c r="C876" s="159"/>
      <c r="D876" s="159"/>
      <c r="E876" s="159"/>
      <c r="F876" s="159"/>
      <c r="G876" s="159"/>
      <c r="H876" s="159"/>
      <c r="I876" s="159"/>
      <c r="J876" s="159"/>
      <c r="K876" s="159"/>
      <c r="L876" s="159"/>
      <c r="M876" s="159"/>
      <c r="N876" s="159"/>
      <c r="O876" s="159"/>
      <c r="P876" s="160"/>
      <c r="Q876" s="6"/>
    </row>
    <row r="877" spans="1:17" s="7" customFormat="1" ht="66" customHeight="1" x14ac:dyDescent="0.25">
      <c r="A877" s="8"/>
      <c r="B877" s="18" t="s">
        <v>285</v>
      </c>
      <c r="C877" s="19" t="str">
        <f>VLOOKUP($B877,[1]ORÇ_ANALITICO!$A$10:$K$137,2,0)</f>
        <v>16.007.0027-0</v>
      </c>
      <c r="D877" s="157" t="str">
        <f>VLOOKUP($C877,[1]ORÇ_ANALITICO!$B$10:$L$137,4,0)</f>
        <v>CALHA EM CHAPA DE ACO GALVANIZADO N°26 COM 50CM DE DESENVOLVIMENTO.FORNECIMENTO E COLOCACAO</v>
      </c>
      <c r="E877" s="157" t="e">
        <f>VLOOKUP(D877,[1]ORÇ_ANALITICO!C741:M840,2,0)</f>
        <v>#N/A</v>
      </c>
      <c r="F877" s="157" t="e">
        <f>VLOOKUP(E877,[1]ORÇ_ANALITICO!E741:N840,2,0)</f>
        <v>#N/A</v>
      </c>
      <c r="G877" s="157" t="e">
        <f>VLOOKUP(F877,[1]ORÇ_ANALITICO!F741:O840,2,0)</f>
        <v>#N/A</v>
      </c>
      <c r="H877" s="157" t="e">
        <f>VLOOKUP(G877,[1]ORÇ_ANALITICO!G741:P840,2,0)</f>
        <v>#N/A</v>
      </c>
      <c r="I877" s="157" t="e">
        <f>VLOOKUP(H877,[1]ORÇ_ANALITICO!H741:Q840,2,0)</f>
        <v>#N/A</v>
      </c>
      <c r="J877" s="157" t="e">
        <f>VLOOKUP(I877,[1]ORÇ_ANALITICO!I741:R840,2,0)</f>
        <v>#N/A</v>
      </c>
      <c r="K877" s="157" t="e">
        <f>VLOOKUP(J877,[1]ORÇ_ANALITICO!J741:S840,2,0)</f>
        <v>#N/A</v>
      </c>
      <c r="L877" s="157" t="e">
        <f>VLOOKUP(K877,[1]ORÇ_ANALITICO!K741:T840,2,0)</f>
        <v>#N/A</v>
      </c>
      <c r="M877" s="157" t="e">
        <f>VLOOKUP(L877,[1]ORÇ_ANALITICO!L741:U840,2,0)</f>
        <v>#N/A</v>
      </c>
      <c r="N877" s="157" t="e">
        <f>VLOOKUP(M877,[1]ORÇ_ANALITICO!M741:V840,2,0)</f>
        <v>#N/A</v>
      </c>
      <c r="O877" s="20" t="str">
        <f>VLOOKUP($C877,[1]ORÇ_ANALITICO!$B$10:$L$137,5,0)</f>
        <v>M</v>
      </c>
      <c r="P877" s="20">
        <f>E881</f>
        <v>146.80000000000001</v>
      </c>
      <c r="Q877" s="6"/>
    </row>
    <row r="878" spans="1:17" s="7" customFormat="1" ht="66" customHeight="1" x14ac:dyDescent="0.25">
      <c r="A878" s="8"/>
      <c r="B878" s="9"/>
      <c r="C878" s="99"/>
      <c r="D878" s="96"/>
      <c r="E878" s="100"/>
      <c r="F878" s="96"/>
      <c r="L878" s="10"/>
      <c r="P878" s="11"/>
      <c r="Q878" s="6"/>
    </row>
    <row r="879" spans="1:17" s="7" customFormat="1" ht="66" customHeight="1" x14ac:dyDescent="0.25">
      <c r="A879" s="8"/>
      <c r="B879" s="9"/>
      <c r="C879" s="22"/>
      <c r="D879" s="24"/>
      <c r="E879" s="48" t="s">
        <v>22</v>
      </c>
      <c r="F879" s="48"/>
      <c r="G879" s="49"/>
      <c r="L879" s="10"/>
      <c r="P879" s="11"/>
      <c r="Q879" s="6"/>
    </row>
    <row r="880" spans="1:17" s="7" customFormat="1" ht="66" customHeight="1" x14ac:dyDescent="0.25">
      <c r="A880" s="8"/>
      <c r="B880" s="9"/>
      <c r="C880" s="22"/>
      <c r="D880" s="24"/>
      <c r="E880" s="48"/>
      <c r="F880" s="48"/>
      <c r="H880" s="50"/>
      <c r="L880" s="10"/>
      <c r="P880" s="11"/>
      <c r="Q880" s="6"/>
    </row>
    <row r="881" spans="1:17" s="7" customFormat="1" ht="66" customHeight="1" x14ac:dyDescent="0.25">
      <c r="A881" s="8"/>
      <c r="B881" s="9"/>
      <c r="C881" s="22" t="s">
        <v>286</v>
      </c>
      <c r="D881" s="24" t="s">
        <v>12</v>
      </c>
      <c r="E881" s="48">
        <f>(31.1+8.05+68.7+8.05+30.9)</f>
        <v>146.80000000000001</v>
      </c>
      <c r="F881" s="48" t="s">
        <v>158</v>
      </c>
      <c r="G881" s="56"/>
      <c r="L881" s="10"/>
      <c r="P881" s="11"/>
      <c r="Q881" s="6"/>
    </row>
    <row r="882" spans="1:17" s="7" customFormat="1" ht="66" customHeight="1" x14ac:dyDescent="0.25">
      <c r="A882" s="8"/>
      <c r="B882" s="9"/>
      <c r="C882" s="99"/>
      <c r="D882" s="96"/>
      <c r="E882" s="100"/>
      <c r="F882" s="96"/>
      <c r="L882" s="10"/>
      <c r="P882" s="11"/>
      <c r="Q882" s="6"/>
    </row>
    <row r="883" spans="1:17" s="7" customFormat="1" ht="66" customHeight="1" x14ac:dyDescent="0.25">
      <c r="A883" s="8"/>
      <c r="B883" s="18" t="s">
        <v>287</v>
      </c>
      <c r="C883" s="19" t="str">
        <f>VLOOKUP($B883,[1]ORÇ_ANALITICO!$A$10:$K$137,2,0)</f>
        <v>16.005.0027-0</v>
      </c>
      <c r="D883" s="157" t="str">
        <f>VLOOKUP($C883,[1]ORÇ_ANALITICO!$B$10:$L$137,4,0)</f>
        <v>RUFO DE GALVALUME COM MEDIDAS APROXIMADAS DE (0,7X500)MM.FORNECIMENTO E COLOCACAO</v>
      </c>
      <c r="E883" s="157" t="e">
        <f>VLOOKUP(D883,[1]ORÇ_ANALITICO!C747:M846,2,0)</f>
        <v>#N/A</v>
      </c>
      <c r="F883" s="157" t="e">
        <f>VLOOKUP(E883,[1]ORÇ_ANALITICO!E747:N846,2,0)</f>
        <v>#N/A</v>
      </c>
      <c r="G883" s="157" t="e">
        <f>VLOOKUP(F883,[1]ORÇ_ANALITICO!F747:O846,2,0)</f>
        <v>#N/A</v>
      </c>
      <c r="H883" s="157" t="e">
        <f>VLOOKUP(G883,[1]ORÇ_ANALITICO!G747:P846,2,0)</f>
        <v>#N/A</v>
      </c>
      <c r="I883" s="157" t="e">
        <f>VLOOKUP(H883,[1]ORÇ_ANALITICO!H747:Q846,2,0)</f>
        <v>#N/A</v>
      </c>
      <c r="J883" s="157" t="e">
        <f>VLOOKUP(I883,[1]ORÇ_ANALITICO!I747:R846,2,0)</f>
        <v>#N/A</v>
      </c>
      <c r="K883" s="157" t="e">
        <f>VLOOKUP(J883,[1]ORÇ_ANALITICO!J747:S846,2,0)</f>
        <v>#N/A</v>
      </c>
      <c r="L883" s="157" t="e">
        <f>VLOOKUP(K883,[1]ORÇ_ANALITICO!K747:T846,2,0)</f>
        <v>#N/A</v>
      </c>
      <c r="M883" s="157" t="e">
        <f>VLOOKUP(L883,[1]ORÇ_ANALITICO!L747:U846,2,0)</f>
        <v>#N/A</v>
      </c>
      <c r="N883" s="157" t="e">
        <f>VLOOKUP(M883,[1]ORÇ_ANALITICO!M747:V846,2,0)</f>
        <v>#N/A</v>
      </c>
      <c r="O883" s="20" t="str">
        <f>VLOOKUP($C883,[1]ORÇ_ANALITICO!$B$10:$L$137,5,0)</f>
        <v>M</v>
      </c>
      <c r="P883" s="20">
        <f>E887</f>
        <v>21.91</v>
      </c>
      <c r="Q883" s="6"/>
    </row>
    <row r="884" spans="1:17" s="7" customFormat="1" ht="66" customHeight="1" x14ac:dyDescent="0.25">
      <c r="A884" s="8"/>
      <c r="B884" s="9"/>
      <c r="C884" s="99"/>
      <c r="D884" s="96"/>
      <c r="E884" s="100"/>
      <c r="F884" s="96"/>
      <c r="L884" s="10"/>
      <c r="P884" s="11"/>
      <c r="Q884" s="6"/>
    </row>
    <row r="885" spans="1:17" s="7" customFormat="1" ht="66" customHeight="1" x14ac:dyDescent="0.25">
      <c r="A885" s="8"/>
      <c r="B885" s="9"/>
      <c r="C885" s="22"/>
      <c r="D885" s="24"/>
      <c r="E885" s="48" t="s">
        <v>22</v>
      </c>
      <c r="F885" s="48"/>
      <c r="G885" s="49"/>
      <c r="L885" s="10"/>
      <c r="P885" s="11"/>
      <c r="Q885" s="6"/>
    </row>
    <row r="886" spans="1:17" s="7" customFormat="1" ht="66" customHeight="1" x14ac:dyDescent="0.25">
      <c r="A886" s="8"/>
      <c r="B886" s="9"/>
      <c r="C886" s="22"/>
      <c r="D886" s="24"/>
      <c r="E886" s="48"/>
      <c r="F886" s="48"/>
      <c r="G886" s="49"/>
      <c r="L886" s="10"/>
      <c r="P886" s="11"/>
      <c r="Q886" s="6"/>
    </row>
    <row r="887" spans="1:17" s="7" customFormat="1" ht="66" customHeight="1" x14ac:dyDescent="0.25">
      <c r="A887" s="8"/>
      <c r="B887" s="9"/>
      <c r="C887" s="22" t="s">
        <v>48</v>
      </c>
      <c r="D887" s="24" t="s">
        <v>12</v>
      </c>
      <c r="E887" s="48">
        <v>21.91</v>
      </c>
      <c r="F887" s="48" t="s">
        <v>158</v>
      </c>
      <c r="G887" s="56"/>
      <c r="L887" s="10"/>
      <c r="P887" s="11"/>
      <c r="Q887" s="6"/>
    </row>
    <row r="888" spans="1:17" s="7" customFormat="1" ht="66" customHeight="1" x14ac:dyDescent="0.25">
      <c r="A888" s="8"/>
      <c r="B888" s="9"/>
      <c r="C888" s="99"/>
      <c r="D888" s="96"/>
      <c r="E888" s="100"/>
      <c r="F888" s="96"/>
      <c r="L888" s="10"/>
      <c r="P888" s="11"/>
      <c r="Q888" s="6"/>
    </row>
    <row r="889" spans="1:17" s="7" customFormat="1" ht="66" customHeight="1" x14ac:dyDescent="0.25">
      <c r="A889" s="8"/>
      <c r="B889" s="18" t="s">
        <v>288</v>
      </c>
      <c r="C889" s="19" t="str">
        <f>VLOOKUP($B889,[1]ORÇ_ANALITICO!$A$10:$K$137,2,0)</f>
        <v>16.015.0001-0</v>
      </c>
      <c r="D889" s="157" t="str">
        <f>VLOOKUP($C889,[1]ORÇ_ANALITICO!$B$10:$L$137,4,0)</f>
        <v>SUBCOBERTURA COMPOSTA DE DUAS FOLHAS DE ALUMINIO ESTRUTURADOE UMA FOLHA DE POLIETILENO ALTA DENSIDADE TRANCADO,COM ESPESSURA APROXIMADA ENTRE 0,15MM E 0,17MM,INCLUSIVE MADEIRAMENTO DE FIXACAO.FORNECIMENTO E COLOCACAO</v>
      </c>
      <c r="E889" s="157" t="e">
        <f>VLOOKUP(D889,[1]ORÇ_ANALITICO!C753:M852,2,0)</f>
        <v>#N/A</v>
      </c>
      <c r="F889" s="157" t="e">
        <f>VLOOKUP(E889,[1]ORÇ_ANALITICO!E753:N852,2,0)</f>
        <v>#N/A</v>
      </c>
      <c r="G889" s="157" t="e">
        <f>VLOOKUP(F889,[1]ORÇ_ANALITICO!F753:O852,2,0)</f>
        <v>#N/A</v>
      </c>
      <c r="H889" s="157" t="e">
        <f>VLOOKUP(G889,[1]ORÇ_ANALITICO!G753:P852,2,0)</f>
        <v>#N/A</v>
      </c>
      <c r="I889" s="157" t="e">
        <f>VLOOKUP(H889,[1]ORÇ_ANALITICO!H753:Q852,2,0)</f>
        <v>#N/A</v>
      </c>
      <c r="J889" s="157" t="e">
        <f>VLOOKUP(I889,[1]ORÇ_ANALITICO!I753:R852,2,0)</f>
        <v>#N/A</v>
      </c>
      <c r="K889" s="157" t="e">
        <f>VLOOKUP(J889,[1]ORÇ_ANALITICO!J753:S852,2,0)</f>
        <v>#N/A</v>
      </c>
      <c r="L889" s="157" t="e">
        <f>VLOOKUP(K889,[1]ORÇ_ANALITICO!K753:T852,2,0)</f>
        <v>#N/A</v>
      </c>
      <c r="M889" s="157" t="e">
        <f>VLOOKUP(L889,[1]ORÇ_ANALITICO!L753:U852,2,0)</f>
        <v>#N/A</v>
      </c>
      <c r="N889" s="157" t="e">
        <f>VLOOKUP(M889,[1]ORÇ_ANALITICO!M753:V852,2,0)</f>
        <v>#N/A</v>
      </c>
      <c r="O889" s="20" t="str">
        <f>VLOOKUP($C889,[1]ORÇ_ANALITICO!$B$10:$L$137,5,0)</f>
        <v>M2</v>
      </c>
      <c r="P889" s="20">
        <f>E896</f>
        <v>432.69799999999998</v>
      </c>
      <c r="Q889" s="6"/>
    </row>
    <row r="890" spans="1:17" s="7" customFormat="1" ht="66" customHeight="1" x14ac:dyDescent="0.25">
      <c r="A890" s="8"/>
      <c r="B890" s="9"/>
      <c r="C890" s="99"/>
      <c r="D890" s="96"/>
      <c r="E890" s="100"/>
      <c r="F890" s="96"/>
      <c r="L890" s="10"/>
      <c r="P890" s="11"/>
      <c r="Q890" s="6"/>
    </row>
    <row r="891" spans="1:17" s="7" customFormat="1" ht="66" customHeight="1" x14ac:dyDescent="0.25">
      <c r="A891" s="8"/>
      <c r="B891" s="9"/>
      <c r="C891" s="22"/>
      <c r="D891" s="24"/>
      <c r="E891" s="48" t="s">
        <v>57</v>
      </c>
      <c r="F891" s="48"/>
      <c r="G891" s="49"/>
      <c r="H891" s="49"/>
      <c r="L891" s="10"/>
      <c r="P891" s="11"/>
      <c r="Q891" s="6"/>
    </row>
    <row r="892" spans="1:17" s="7" customFormat="1" ht="66" customHeight="1" x14ac:dyDescent="0.25">
      <c r="A892" s="8"/>
      <c r="B892" s="9"/>
      <c r="C892" s="22"/>
      <c r="D892" s="24"/>
      <c r="E892" s="48"/>
      <c r="F892" s="48"/>
      <c r="G892" s="49"/>
      <c r="H892" s="49"/>
      <c r="L892" s="10"/>
      <c r="P892" s="11"/>
      <c r="Q892" s="6"/>
    </row>
    <row r="893" spans="1:17" s="7" customFormat="1" ht="66" customHeight="1" x14ac:dyDescent="0.25">
      <c r="A893" s="8"/>
      <c r="B893" s="9"/>
      <c r="C893" s="22" t="s">
        <v>286</v>
      </c>
      <c r="D893" s="24" t="s">
        <v>12</v>
      </c>
      <c r="E893" s="48">
        <v>398.8</v>
      </c>
      <c r="F893" s="48" t="s">
        <v>25</v>
      </c>
      <c r="G893" s="49"/>
      <c r="H893" s="56"/>
      <c r="L893" s="10"/>
      <c r="P893" s="11"/>
      <c r="Q893" s="6"/>
    </row>
    <row r="894" spans="1:17" s="7" customFormat="1" ht="66" customHeight="1" x14ac:dyDescent="0.25">
      <c r="A894" s="8"/>
      <c r="B894" s="9"/>
      <c r="C894" s="22" t="s">
        <v>289</v>
      </c>
      <c r="D894" s="24" t="s">
        <v>12</v>
      </c>
      <c r="E894" s="48">
        <v>0.42</v>
      </c>
      <c r="F894" s="48" t="s">
        <v>25</v>
      </c>
      <c r="G894" s="49"/>
      <c r="H894" s="49"/>
      <c r="L894" s="10"/>
      <c r="P894" s="11"/>
      <c r="Q894" s="6"/>
    </row>
    <row r="895" spans="1:17" s="7" customFormat="1" ht="66" customHeight="1" x14ac:dyDescent="0.25">
      <c r="A895" s="8"/>
      <c r="B895" s="9"/>
      <c r="C895" s="22" t="s">
        <v>290</v>
      </c>
      <c r="D895" s="24" t="s">
        <v>12</v>
      </c>
      <c r="E895" s="103">
        <v>1.085</v>
      </c>
      <c r="F895" s="48"/>
      <c r="G895" s="49"/>
      <c r="H895" s="49"/>
      <c r="L895" s="10"/>
      <c r="P895" s="11"/>
      <c r="Q895" s="6"/>
    </row>
    <row r="896" spans="1:17" s="7" customFormat="1" ht="66" customHeight="1" x14ac:dyDescent="0.25">
      <c r="A896" s="8"/>
      <c r="B896" s="9"/>
      <c r="C896" s="52" t="s">
        <v>48</v>
      </c>
      <c r="D896" s="27" t="s">
        <v>12</v>
      </c>
      <c r="E896" s="26">
        <f>E893*E895</f>
        <v>432.69799999999998</v>
      </c>
      <c r="F896" s="26" t="s">
        <v>25</v>
      </c>
      <c r="G896" s="49"/>
      <c r="H896" s="49"/>
      <c r="L896" s="10"/>
      <c r="P896" s="11"/>
      <c r="Q896" s="6"/>
    </row>
    <row r="897" spans="1:17" s="7" customFormat="1" ht="66" customHeight="1" x14ac:dyDescent="0.25">
      <c r="A897" s="8"/>
      <c r="B897" s="9"/>
      <c r="C897" s="99"/>
      <c r="D897" s="96"/>
      <c r="E897" s="100"/>
      <c r="F897" s="96"/>
      <c r="L897" s="10"/>
      <c r="P897" s="11"/>
      <c r="Q897" s="6"/>
    </row>
    <row r="898" spans="1:17" s="7" customFormat="1" ht="66" customHeight="1" x14ac:dyDescent="0.25">
      <c r="A898" s="8"/>
      <c r="B898" s="18" t="s">
        <v>291</v>
      </c>
      <c r="C898" s="19" t="str">
        <f>VLOOKUP($B898,[1]ORÇ_ANALITICO!$A$10:$K$137,2,0)</f>
        <v>16.013.0001-0</v>
      </c>
      <c r="D898" s="157" t="str">
        <f>VLOOKUP($C898,[1]ORÇ_ANALITICO!$B$10:$L$137,4,0)</f>
        <v>RETIRADA E RECOLOCACAO DE TELHAS FRANCESAS,INCLUSIVE CUMEEIRA,EXCLUSIVE O FORNECIMENTO DO MATERIAL NOVO,MEDIDAS PELA AREA REAL DE COBERTURA</v>
      </c>
      <c r="E898" s="157" t="e">
        <f>VLOOKUP(D898,[1]ORÇ_ANALITICO!C762:M861,2,0)</f>
        <v>#N/A</v>
      </c>
      <c r="F898" s="157" t="e">
        <f>VLOOKUP(E898,[1]ORÇ_ANALITICO!E762:N861,2,0)</f>
        <v>#N/A</v>
      </c>
      <c r="G898" s="157" t="e">
        <f>VLOOKUP(F898,[1]ORÇ_ANALITICO!F762:O861,2,0)</f>
        <v>#N/A</v>
      </c>
      <c r="H898" s="157" t="e">
        <f>VLOOKUP(G898,[1]ORÇ_ANALITICO!G762:P861,2,0)</f>
        <v>#N/A</v>
      </c>
      <c r="I898" s="157" t="e">
        <f>VLOOKUP(H898,[1]ORÇ_ANALITICO!H762:Q861,2,0)</f>
        <v>#N/A</v>
      </c>
      <c r="J898" s="157" t="e">
        <f>VLOOKUP(I898,[1]ORÇ_ANALITICO!I762:R861,2,0)</f>
        <v>#N/A</v>
      </c>
      <c r="K898" s="157" t="e">
        <f>VLOOKUP(J898,[1]ORÇ_ANALITICO!J762:S861,2,0)</f>
        <v>#N/A</v>
      </c>
      <c r="L898" s="157" t="e">
        <f>VLOOKUP(K898,[1]ORÇ_ANALITICO!K762:T861,2,0)</f>
        <v>#N/A</v>
      </c>
      <c r="M898" s="157" t="e">
        <f>VLOOKUP(L898,[1]ORÇ_ANALITICO!L762:U861,2,0)</f>
        <v>#N/A</v>
      </c>
      <c r="N898" s="157" t="e">
        <f>VLOOKUP(M898,[1]ORÇ_ANALITICO!M762:V861,2,0)</f>
        <v>#N/A</v>
      </c>
      <c r="O898" s="20" t="str">
        <f>VLOOKUP($C898,[1]ORÇ_ANALITICO!$B$10:$L$137,5,0)</f>
        <v>M2</v>
      </c>
      <c r="P898" s="20">
        <f>E905</f>
        <v>432.69799999999998</v>
      </c>
      <c r="Q898" s="6"/>
    </row>
    <row r="899" spans="1:17" s="7" customFormat="1" ht="66" customHeight="1" x14ac:dyDescent="0.25">
      <c r="A899" s="8"/>
      <c r="B899" s="9"/>
      <c r="C899" s="99"/>
      <c r="D899" s="96"/>
      <c r="E899" s="100"/>
      <c r="F899" s="96"/>
      <c r="L899" s="10"/>
      <c r="P899" s="11"/>
      <c r="Q899" s="6"/>
    </row>
    <row r="900" spans="1:17" s="7" customFormat="1" ht="66" customHeight="1" x14ac:dyDescent="0.25">
      <c r="A900" s="8"/>
      <c r="B900" s="9"/>
      <c r="C900" s="22"/>
      <c r="D900" s="24"/>
      <c r="E900" s="48" t="s">
        <v>57</v>
      </c>
      <c r="F900" s="48"/>
      <c r="L900" s="10"/>
      <c r="P900" s="11"/>
      <c r="Q900" s="6"/>
    </row>
    <row r="901" spans="1:17" s="7" customFormat="1" ht="66" customHeight="1" x14ac:dyDescent="0.25">
      <c r="A901" s="8"/>
      <c r="B901" s="9"/>
      <c r="C901" s="22"/>
      <c r="D901" s="24"/>
      <c r="E901" s="48"/>
      <c r="F901" s="48"/>
      <c r="L901" s="10"/>
      <c r="P901" s="11"/>
      <c r="Q901" s="6"/>
    </row>
    <row r="902" spans="1:17" s="7" customFormat="1" ht="66" customHeight="1" x14ac:dyDescent="0.25">
      <c r="A902" s="8"/>
      <c r="B902" s="9"/>
      <c r="C902" s="22" t="s">
        <v>286</v>
      </c>
      <c r="D902" s="24" t="s">
        <v>12</v>
      </c>
      <c r="E902" s="48">
        <v>398.8</v>
      </c>
      <c r="F902" s="48" t="s">
        <v>25</v>
      </c>
      <c r="L902" s="10"/>
      <c r="P902" s="11"/>
      <c r="Q902" s="6"/>
    </row>
    <row r="903" spans="1:17" s="7" customFormat="1" ht="66" customHeight="1" x14ac:dyDescent="0.25">
      <c r="A903" s="8"/>
      <c r="B903" s="9"/>
      <c r="C903" s="22" t="s">
        <v>289</v>
      </c>
      <c r="D903" s="24" t="s">
        <v>12</v>
      </c>
      <c r="E903" s="48">
        <v>0.42</v>
      </c>
      <c r="F903" s="48" t="s">
        <v>25</v>
      </c>
      <c r="L903" s="10"/>
      <c r="P903" s="11"/>
      <c r="Q903" s="6"/>
    </row>
    <row r="904" spans="1:17" s="7" customFormat="1" ht="66" customHeight="1" x14ac:dyDescent="0.25">
      <c r="A904" s="8"/>
      <c r="B904" s="9"/>
      <c r="C904" s="22" t="s">
        <v>290</v>
      </c>
      <c r="D904" s="24" t="s">
        <v>12</v>
      </c>
      <c r="E904" s="103">
        <v>1.085</v>
      </c>
      <c r="F904" s="48"/>
      <c r="L904" s="10"/>
      <c r="P904" s="11"/>
      <c r="Q904" s="6"/>
    </row>
    <row r="905" spans="1:17" s="7" customFormat="1" ht="66" customHeight="1" x14ac:dyDescent="0.25">
      <c r="A905" s="8"/>
      <c r="B905" s="9"/>
      <c r="C905" s="52" t="s">
        <v>48</v>
      </c>
      <c r="D905" s="27" t="s">
        <v>12</v>
      </c>
      <c r="E905" s="26">
        <f>E902*E904</f>
        <v>432.69799999999998</v>
      </c>
      <c r="F905" s="26" t="s">
        <v>25</v>
      </c>
      <c r="L905" s="10"/>
      <c r="P905" s="11"/>
      <c r="Q905" s="6"/>
    </row>
    <row r="906" spans="1:17" s="7" customFormat="1" ht="66" customHeight="1" x14ac:dyDescent="0.25">
      <c r="A906" s="8"/>
      <c r="B906" s="9"/>
      <c r="C906" s="99"/>
      <c r="D906" s="96"/>
      <c r="E906" s="100"/>
      <c r="F906" s="96"/>
      <c r="L906" s="10"/>
      <c r="P906" s="11"/>
      <c r="Q906" s="6"/>
    </row>
    <row r="907" spans="1:17" s="7" customFormat="1" ht="66" customHeight="1" x14ac:dyDescent="0.25">
      <c r="A907" s="8"/>
      <c r="B907" s="18" t="s">
        <v>292</v>
      </c>
      <c r="C907" s="19" t="str">
        <f>VLOOKUP($B907,[1]ORÇ_ANALITICO!$A$10:$K$137,2,0)</f>
        <v>16.013.0015-0</v>
      </c>
      <c r="D907" s="157" t="str">
        <f>VLOOKUP($C907,[1]ORÇ_ANALITICO!$B$10:$L$137,4,0)</f>
        <v>RETIRADA E RECOLOCACAO DE MADEIRAMENTO TELHAS FRANCESAS OU COLONIAIS,ONDULADAS,EXCLUSIVE FORNECIMENTO DO MATERIAL.MEDIDAS PELA AREA REAL DA COBERTURA</v>
      </c>
      <c r="E907" s="157" t="e">
        <f>VLOOKUP(D907,[1]ORÇ_ANALITICO!C771:M870,2,0)</f>
        <v>#N/A</v>
      </c>
      <c r="F907" s="157" t="e">
        <f>VLOOKUP(E907,[1]ORÇ_ANALITICO!E771:N870,2,0)</f>
        <v>#N/A</v>
      </c>
      <c r="G907" s="157" t="e">
        <f>VLOOKUP(F907,[1]ORÇ_ANALITICO!F771:O870,2,0)</f>
        <v>#N/A</v>
      </c>
      <c r="H907" s="157" t="e">
        <f>VLOOKUP(G907,[1]ORÇ_ANALITICO!G771:P870,2,0)</f>
        <v>#N/A</v>
      </c>
      <c r="I907" s="157" t="e">
        <f>VLOOKUP(H907,[1]ORÇ_ANALITICO!H771:Q870,2,0)</f>
        <v>#N/A</v>
      </c>
      <c r="J907" s="157" t="e">
        <f>VLOOKUP(I907,[1]ORÇ_ANALITICO!I771:R870,2,0)</f>
        <v>#N/A</v>
      </c>
      <c r="K907" s="157" t="e">
        <f>VLOOKUP(J907,[1]ORÇ_ANALITICO!J771:S870,2,0)</f>
        <v>#N/A</v>
      </c>
      <c r="L907" s="157" t="e">
        <f>VLOOKUP(K907,[1]ORÇ_ANALITICO!K771:T870,2,0)</f>
        <v>#N/A</v>
      </c>
      <c r="M907" s="157" t="e">
        <f>VLOOKUP(L907,[1]ORÇ_ANALITICO!L771:U870,2,0)</f>
        <v>#N/A</v>
      </c>
      <c r="N907" s="157" t="e">
        <f>VLOOKUP(M907,[1]ORÇ_ANALITICO!M771:V870,2,0)</f>
        <v>#N/A</v>
      </c>
      <c r="O907" s="20" t="str">
        <f>VLOOKUP($C907,[1]ORÇ_ANALITICO!$B$10:$L$137,5,0)</f>
        <v>M2</v>
      </c>
      <c r="P907" s="20">
        <f>E914</f>
        <v>432.69799999999998</v>
      </c>
      <c r="Q907" s="6"/>
    </row>
    <row r="908" spans="1:17" s="7" customFormat="1" ht="66" customHeight="1" x14ac:dyDescent="0.25">
      <c r="A908" s="8"/>
      <c r="B908" s="9"/>
      <c r="C908" s="99"/>
      <c r="D908" s="96"/>
      <c r="E908" s="100"/>
      <c r="F908" s="96"/>
      <c r="L908" s="10"/>
      <c r="P908" s="11"/>
      <c r="Q908" s="6"/>
    </row>
    <row r="909" spans="1:17" s="7" customFormat="1" ht="66" customHeight="1" x14ac:dyDescent="0.25">
      <c r="A909" s="8"/>
      <c r="B909" s="9"/>
      <c r="C909" s="22"/>
      <c r="D909" s="24"/>
      <c r="E909" s="48" t="s">
        <v>57</v>
      </c>
      <c r="F909" s="48"/>
      <c r="L909" s="10"/>
      <c r="P909" s="11"/>
      <c r="Q909" s="6"/>
    </row>
    <row r="910" spans="1:17" s="7" customFormat="1" ht="66" customHeight="1" x14ac:dyDescent="0.25">
      <c r="A910" s="8"/>
      <c r="B910" s="9"/>
      <c r="C910" s="22"/>
      <c r="D910" s="24"/>
      <c r="E910" s="48"/>
      <c r="F910" s="48"/>
      <c r="L910" s="10"/>
      <c r="P910" s="11"/>
      <c r="Q910" s="6"/>
    </row>
    <row r="911" spans="1:17" s="7" customFormat="1" ht="66" customHeight="1" x14ac:dyDescent="0.25">
      <c r="A911" s="8"/>
      <c r="B911" s="9"/>
      <c r="C911" s="22" t="s">
        <v>286</v>
      </c>
      <c r="D911" s="24" t="s">
        <v>12</v>
      </c>
      <c r="E911" s="48">
        <v>398.8</v>
      </c>
      <c r="F911" s="48" t="s">
        <v>25</v>
      </c>
      <c r="L911" s="10"/>
      <c r="P911" s="11"/>
      <c r="Q911" s="6"/>
    </row>
    <row r="912" spans="1:17" s="7" customFormat="1" ht="66" customHeight="1" x14ac:dyDescent="0.25">
      <c r="A912" s="8"/>
      <c r="B912" s="9"/>
      <c r="C912" s="22" t="s">
        <v>289</v>
      </c>
      <c r="D912" s="24" t="s">
        <v>12</v>
      </c>
      <c r="E912" s="48">
        <v>0.42</v>
      </c>
      <c r="F912" s="48" t="s">
        <v>25</v>
      </c>
      <c r="L912" s="10"/>
      <c r="P912" s="11"/>
      <c r="Q912" s="6"/>
    </row>
    <row r="913" spans="1:17" s="7" customFormat="1" ht="66" customHeight="1" x14ac:dyDescent="0.25">
      <c r="A913" s="8"/>
      <c r="B913" s="9"/>
      <c r="C913" s="22" t="s">
        <v>290</v>
      </c>
      <c r="D913" s="24" t="s">
        <v>12</v>
      </c>
      <c r="E913" s="103">
        <v>1.085</v>
      </c>
      <c r="F913" s="48"/>
      <c r="L913" s="10"/>
      <c r="P913" s="11"/>
      <c r="Q913" s="6"/>
    </row>
    <row r="914" spans="1:17" s="7" customFormat="1" ht="66" customHeight="1" x14ac:dyDescent="0.25">
      <c r="A914" s="8"/>
      <c r="B914" s="9"/>
      <c r="C914" s="52" t="s">
        <v>48</v>
      </c>
      <c r="D914" s="27" t="s">
        <v>12</v>
      </c>
      <c r="E914" s="26">
        <f>E911*E913</f>
        <v>432.69799999999998</v>
      </c>
      <c r="F914" s="26" t="s">
        <v>25</v>
      </c>
      <c r="L914" s="10"/>
      <c r="P914" s="11"/>
      <c r="Q914" s="6"/>
    </row>
    <row r="915" spans="1:17" s="7" customFormat="1" ht="66" customHeight="1" x14ac:dyDescent="0.25">
      <c r="A915" s="8"/>
      <c r="B915" s="9"/>
      <c r="C915" s="99"/>
      <c r="D915" s="96"/>
      <c r="E915" s="100"/>
      <c r="F915" s="96"/>
      <c r="L915" s="10"/>
      <c r="P915" s="11"/>
      <c r="Q915" s="6"/>
    </row>
    <row r="916" spans="1:17" s="7" customFormat="1" ht="66" customHeight="1" x14ac:dyDescent="0.25">
      <c r="A916" s="8"/>
      <c r="B916" s="18" t="s">
        <v>293</v>
      </c>
      <c r="C916" s="19" t="s">
        <v>294</v>
      </c>
      <c r="D916" s="157" t="str">
        <f>VLOOKUP($C916,[2]ORÇ_ANALITICO!$C$10:$M$137,4,0)</f>
        <v>MADEIRAMENTO PARA COBERTURA EM QUATRO OU MAIS AGUAS EM TELHAS CERAMICAS,CONSTITUIDO DE CUMEEIRA,TERCAS,RINCOES E ESPIGOES DE 3"X4.1/2",CAIBROS DE 3"X1.1/2",RIPAS DE 1,5X4CM,TUDO EMMADEIRA SERRADA,SEM TESOURA OU PONTALETE,MEDIDO PELA AREA REAL DO MADEIRAME</v>
      </c>
      <c r="E916" s="157" t="e">
        <f>VLOOKUP(D916,[2]ORÇ_ANALITICO!D772:N871,2,0)</f>
        <v>#N/A</v>
      </c>
      <c r="F916" s="157" t="e">
        <f>VLOOKUP(E916,[2]ORÇ_ANALITICO!F772:O871,2,0)</f>
        <v>#N/A</v>
      </c>
      <c r="G916" s="157" t="e">
        <f>VLOOKUP(F916,[2]ORÇ_ANALITICO!G772:P871,2,0)</f>
        <v>#N/A</v>
      </c>
      <c r="H916" s="157" t="e">
        <f>VLOOKUP(G916,[2]ORÇ_ANALITICO!H772:Q871,2,0)</f>
        <v>#N/A</v>
      </c>
      <c r="I916" s="157" t="e">
        <f>VLOOKUP(H916,[2]ORÇ_ANALITICO!I772:R871,2,0)</f>
        <v>#N/A</v>
      </c>
      <c r="J916" s="157" t="e">
        <f>VLOOKUP(I916,[2]ORÇ_ANALITICO!J772:S871,2,0)</f>
        <v>#N/A</v>
      </c>
      <c r="K916" s="157" t="e">
        <f>VLOOKUP(J916,[2]ORÇ_ANALITICO!K772:T871,2,0)</f>
        <v>#N/A</v>
      </c>
      <c r="L916" s="157" t="e">
        <f>VLOOKUP(K916,[2]ORÇ_ANALITICO!L772:U871,2,0)</f>
        <v>#N/A</v>
      </c>
      <c r="M916" s="157" t="e">
        <f>VLOOKUP(L916,[2]ORÇ_ANALITICO!M772:V871,2,0)</f>
        <v>#N/A</v>
      </c>
      <c r="N916" s="157" t="e">
        <f>VLOOKUP(M916,[2]ORÇ_ANALITICO!N772:W871,2,0)</f>
        <v>#N/A</v>
      </c>
      <c r="O916" s="20" t="str">
        <f>VLOOKUP($C916,[2]ORÇ_ANALITICO!$C$10:$M$137,5,0)</f>
        <v>M2</v>
      </c>
      <c r="P916" s="20">
        <f>E918</f>
        <v>173.07920000000001</v>
      </c>
      <c r="Q916" s="6"/>
    </row>
    <row r="917" spans="1:17" s="7" customFormat="1" ht="66" customHeight="1" x14ac:dyDescent="0.25">
      <c r="A917" s="8"/>
      <c r="B917" s="9"/>
      <c r="C917" s="52"/>
      <c r="D917" s="27"/>
      <c r="E917" s="26"/>
      <c r="F917" s="26"/>
      <c r="L917" s="10"/>
      <c r="P917" s="11"/>
      <c r="Q917" s="6"/>
    </row>
    <row r="918" spans="1:17" s="7" customFormat="1" ht="66" customHeight="1" x14ac:dyDescent="0.25">
      <c r="A918" s="8"/>
      <c r="B918" s="9"/>
      <c r="C918" s="52" t="s">
        <v>295</v>
      </c>
      <c r="D918" s="27" t="s">
        <v>12</v>
      </c>
      <c r="E918" s="26">
        <f>E914*40%</f>
        <v>173.07920000000001</v>
      </c>
      <c r="F918" s="26" t="s">
        <v>25</v>
      </c>
      <c r="L918" s="10"/>
      <c r="P918" s="11"/>
      <c r="Q918" s="6"/>
    </row>
    <row r="919" spans="1:17" s="7" customFormat="1" ht="66" customHeight="1" x14ac:dyDescent="0.25">
      <c r="A919" s="8"/>
      <c r="B919" s="9"/>
      <c r="C919" s="52"/>
      <c r="D919" s="27"/>
      <c r="E919" s="26"/>
      <c r="F919" s="26"/>
      <c r="L919" s="10"/>
      <c r="P919" s="11"/>
      <c r="Q919" s="6"/>
    </row>
    <row r="920" spans="1:17" s="7" customFormat="1" ht="66" customHeight="1" x14ac:dyDescent="0.25">
      <c r="A920" s="8"/>
      <c r="B920" s="9"/>
      <c r="C920" s="52"/>
      <c r="D920" s="27"/>
      <c r="E920" s="26"/>
      <c r="F920" s="26"/>
      <c r="L920" s="10"/>
      <c r="P920" s="11"/>
      <c r="Q920" s="6"/>
    </row>
    <row r="921" spans="1:17" s="7" customFormat="1" ht="66" customHeight="1" x14ac:dyDescent="0.25">
      <c r="A921" s="8"/>
      <c r="B921" s="9"/>
      <c r="C921" s="52"/>
      <c r="D921" s="27"/>
      <c r="E921" s="26"/>
      <c r="F921" s="26"/>
      <c r="L921" s="10"/>
      <c r="P921" s="11"/>
      <c r="Q921" s="6"/>
    </row>
    <row r="922" spans="1:17" s="7" customFormat="1" ht="66" customHeight="1" x14ac:dyDescent="0.25">
      <c r="A922" s="8"/>
      <c r="B922" s="18" t="s">
        <v>296</v>
      </c>
      <c r="C922" s="19" t="s">
        <v>297</v>
      </c>
      <c r="D922" s="157" t="str">
        <f>VLOOKUP($C922,[2]ORÇ_ANALITICO!$C$10:$M$137,4,0)</f>
        <v>COBERTURA EM TELHA CERAMICA FRANCESA,EXCLUSIVE CUMEEIRA E MADEIRAMENTO.MEDIDA PELA AREA REAL DA COBERTURA.FORNECIMENTO ECOLOCACAO</v>
      </c>
      <c r="E922" s="157" t="e">
        <f>VLOOKUP(D922,[2]ORÇ_ANALITICO!D778:N877,2,0)</f>
        <v>#N/A</v>
      </c>
      <c r="F922" s="157" t="e">
        <f>VLOOKUP(E922,[2]ORÇ_ANALITICO!F778:O877,2,0)</f>
        <v>#N/A</v>
      </c>
      <c r="G922" s="157" t="e">
        <f>VLOOKUP(F922,[2]ORÇ_ANALITICO!G778:P877,2,0)</f>
        <v>#N/A</v>
      </c>
      <c r="H922" s="157" t="e">
        <f>VLOOKUP(G922,[2]ORÇ_ANALITICO!H778:Q877,2,0)</f>
        <v>#N/A</v>
      </c>
      <c r="I922" s="157" t="e">
        <f>VLOOKUP(H922,[2]ORÇ_ANALITICO!I778:R877,2,0)</f>
        <v>#N/A</v>
      </c>
      <c r="J922" s="157" t="e">
        <f>VLOOKUP(I922,[2]ORÇ_ANALITICO!J778:S877,2,0)</f>
        <v>#N/A</v>
      </c>
      <c r="K922" s="157" t="e">
        <f>VLOOKUP(J922,[2]ORÇ_ANALITICO!K778:T877,2,0)</f>
        <v>#N/A</v>
      </c>
      <c r="L922" s="157" t="e">
        <f>VLOOKUP(K922,[2]ORÇ_ANALITICO!L778:U877,2,0)</f>
        <v>#N/A</v>
      </c>
      <c r="M922" s="157" t="e">
        <f>VLOOKUP(L922,[2]ORÇ_ANALITICO!M778:V877,2,0)</f>
        <v>#N/A</v>
      </c>
      <c r="N922" s="157" t="e">
        <f>VLOOKUP(M922,[2]ORÇ_ANALITICO!N778:W877,2,0)</f>
        <v>#N/A</v>
      </c>
      <c r="O922" s="20" t="str">
        <f>VLOOKUP($C922,[2]ORÇ_ANALITICO!$C$10:$M$137,5,0)</f>
        <v>M2</v>
      </c>
      <c r="P922" s="20">
        <f>E924</f>
        <v>173.07920000000001</v>
      </c>
      <c r="Q922" s="6"/>
    </row>
    <row r="923" spans="1:17" s="7" customFormat="1" ht="66" customHeight="1" x14ac:dyDescent="0.25">
      <c r="A923" s="8"/>
      <c r="B923" s="9"/>
      <c r="C923" s="52"/>
      <c r="D923" s="27"/>
      <c r="E923" s="26"/>
      <c r="F923" s="26"/>
      <c r="L923" s="10"/>
      <c r="P923" s="11"/>
      <c r="Q923" s="6"/>
    </row>
    <row r="924" spans="1:17" s="7" customFormat="1" ht="66" customHeight="1" x14ac:dyDescent="0.25">
      <c r="A924" s="8"/>
      <c r="B924" s="9"/>
      <c r="C924" s="52" t="s">
        <v>298</v>
      </c>
      <c r="D924" s="27" t="s">
        <v>12</v>
      </c>
      <c r="E924" s="26">
        <f>E905*40%</f>
        <v>173.07920000000001</v>
      </c>
      <c r="F924" s="26" t="s">
        <v>25</v>
      </c>
      <c r="L924" s="10"/>
      <c r="P924" s="11"/>
      <c r="Q924" s="6"/>
    </row>
    <row r="925" spans="1:17" s="7" customFormat="1" ht="66" customHeight="1" x14ac:dyDescent="0.25">
      <c r="A925" s="8"/>
      <c r="B925" s="9"/>
      <c r="C925" s="99"/>
      <c r="D925" s="96"/>
      <c r="E925" s="100"/>
      <c r="F925" s="96"/>
      <c r="L925" s="10"/>
      <c r="P925" s="11"/>
      <c r="Q925" s="6"/>
    </row>
    <row r="926" spans="1:17" s="7" customFormat="1" ht="66" customHeight="1" x14ac:dyDescent="0.25">
      <c r="A926" s="8"/>
      <c r="B926" s="158" t="str">
        <f>[1]ORÇ_ANALITICO!B99</f>
        <v>PINTURA</v>
      </c>
      <c r="C926" s="159"/>
      <c r="D926" s="159"/>
      <c r="E926" s="159"/>
      <c r="F926" s="159"/>
      <c r="G926" s="159"/>
      <c r="H926" s="159"/>
      <c r="I926" s="159"/>
      <c r="J926" s="159"/>
      <c r="K926" s="159"/>
      <c r="L926" s="159"/>
      <c r="M926" s="159"/>
      <c r="N926" s="159"/>
      <c r="O926" s="159"/>
      <c r="P926" s="160"/>
      <c r="Q926" s="6"/>
    </row>
    <row r="927" spans="1:17" s="7" customFormat="1" ht="66" customHeight="1" x14ac:dyDescent="0.25">
      <c r="A927" s="8"/>
      <c r="B927" s="18" t="s">
        <v>299</v>
      </c>
      <c r="C927" s="19" t="str">
        <f>VLOOKUP($B927,[1]ORÇ_ANALITICO!$A$10:$K$137,2,0)</f>
        <v>17.018.0115-0</v>
      </c>
      <c r="D927" s="157" t="str">
        <f>VLOOKUP($C927,[1]ORÇ_ANALITICO!$B$10:$L$137,4,0)</f>
        <v>PINTURA COM TINTA LATEX SEMIBRILHANTE,FOSCA OU ACETINADA,CLASSIFICACAO PREMIUM OU STANDARD (NBR 15079),PARA INTERIOR E EXTERIOR,BRANCA OU COLORIDA,SOBRE TIJOLO,CONCRETO LISO,CIMENTO SEM AMIANTO,E REVESTIMENTO,INCLUSIVE LIXAMENTO,UMA DEMAO DE SELADOR ACRILICO,DUAS DEMAOS DE MASSA ACRILICA E DUAS DEMAOS DE ACABAMENTO</v>
      </c>
      <c r="E927" s="157" t="e">
        <f>VLOOKUP(D927,[1]ORÇ_ANALITICO!C781:M880,2,0)</f>
        <v>#VALUE!</v>
      </c>
      <c r="F927" s="157" t="e">
        <f>VLOOKUP(E927,[1]ORÇ_ANALITICO!E781:N880,2,0)</f>
        <v>#VALUE!</v>
      </c>
      <c r="G927" s="157" t="e">
        <f>VLOOKUP(F927,[1]ORÇ_ANALITICO!F781:O880,2,0)</f>
        <v>#VALUE!</v>
      </c>
      <c r="H927" s="157" t="e">
        <f>VLOOKUP(G927,[1]ORÇ_ANALITICO!G781:P880,2,0)</f>
        <v>#VALUE!</v>
      </c>
      <c r="I927" s="157" t="e">
        <f>VLOOKUP(H927,[1]ORÇ_ANALITICO!H781:Q880,2,0)</f>
        <v>#VALUE!</v>
      </c>
      <c r="J927" s="157" t="e">
        <f>VLOOKUP(I927,[1]ORÇ_ANALITICO!I781:R880,2,0)</f>
        <v>#VALUE!</v>
      </c>
      <c r="K927" s="157" t="e">
        <f>VLOOKUP(J927,[1]ORÇ_ANALITICO!J781:S880,2,0)</f>
        <v>#VALUE!</v>
      </c>
      <c r="L927" s="157" t="e">
        <f>VLOOKUP(K927,[1]ORÇ_ANALITICO!K781:T880,2,0)</f>
        <v>#VALUE!</v>
      </c>
      <c r="M927" s="157" t="e">
        <f>VLOOKUP(L927,[1]ORÇ_ANALITICO!L781:U880,2,0)</f>
        <v>#VALUE!</v>
      </c>
      <c r="N927" s="157" t="e">
        <f>VLOOKUP(M927,[1]ORÇ_ANALITICO!M781:V880,2,0)</f>
        <v>#VALUE!</v>
      </c>
      <c r="O927" s="20" t="str">
        <f>VLOOKUP($C927,[1]ORÇ_ANALITICO!$B$10:$L$137,5,0)</f>
        <v>M2</v>
      </c>
      <c r="P927" s="20">
        <f>I1076</f>
        <v>4455.382999999998</v>
      </c>
      <c r="Q927" s="6"/>
    </row>
    <row r="928" spans="1:17" s="7" customFormat="1" ht="66" customHeight="1" x14ac:dyDescent="0.25">
      <c r="A928" s="8"/>
      <c r="B928" s="9"/>
      <c r="C928" s="10"/>
      <c r="L928" s="10"/>
      <c r="P928" s="11"/>
      <c r="Q928" s="6"/>
    </row>
    <row r="929" spans="1:17" s="7" customFormat="1" ht="66" customHeight="1" x14ac:dyDescent="0.25">
      <c r="A929" s="8"/>
      <c r="B929" s="104"/>
      <c r="C929" s="22"/>
      <c r="D929" s="24"/>
      <c r="E929" s="48" t="s">
        <v>103</v>
      </c>
      <c r="F929" s="48"/>
      <c r="G929" s="56" t="s">
        <v>23</v>
      </c>
      <c r="H929" s="56"/>
      <c r="I929" s="56" t="s">
        <v>75</v>
      </c>
      <c r="J929" s="56"/>
      <c r="K929" s="25" t="s">
        <v>300</v>
      </c>
      <c r="L929" s="32"/>
      <c r="M929" s="10"/>
      <c r="N929" s="10"/>
      <c r="O929" s="10"/>
      <c r="P929" s="105"/>
      <c r="Q929" s="6"/>
    </row>
    <row r="930" spans="1:17" s="7" customFormat="1" ht="66" customHeight="1" x14ac:dyDescent="0.25">
      <c r="A930" s="8"/>
      <c r="B930" s="104"/>
      <c r="C930" s="22"/>
      <c r="D930" s="24"/>
      <c r="E930" s="83"/>
      <c r="F930" s="48"/>
      <c r="G930" s="56"/>
      <c r="H930" s="56"/>
      <c r="I930" s="56"/>
      <c r="J930" s="56"/>
      <c r="K930" s="25"/>
      <c r="L930" s="32"/>
      <c r="M930" s="10"/>
      <c r="N930" s="10"/>
      <c r="O930" s="10"/>
      <c r="P930" s="105"/>
      <c r="Q930" s="6"/>
    </row>
    <row r="931" spans="1:17" s="7" customFormat="1" ht="66" customHeight="1" x14ac:dyDescent="0.25">
      <c r="A931" s="8"/>
      <c r="B931" s="104"/>
      <c r="C931" s="22" t="s">
        <v>301</v>
      </c>
      <c r="D931" s="24" t="s">
        <v>12</v>
      </c>
      <c r="E931" s="55">
        <v>24.75</v>
      </c>
      <c r="F931" s="48" t="s">
        <v>24</v>
      </c>
      <c r="G931" s="56">
        <v>13.7</v>
      </c>
      <c r="H931" s="56" t="s">
        <v>24</v>
      </c>
      <c r="I931" s="56">
        <v>1</v>
      </c>
      <c r="J931" s="56" t="s">
        <v>24</v>
      </c>
      <c r="K931" s="25">
        <v>1</v>
      </c>
      <c r="L931" s="32" t="s">
        <v>12</v>
      </c>
      <c r="M931" s="49">
        <f>E931*G931*I931*K931</f>
        <v>339.07499999999999</v>
      </c>
      <c r="N931" s="10" t="s">
        <v>25</v>
      </c>
      <c r="O931" s="10"/>
      <c r="P931" s="105"/>
      <c r="Q931" s="6"/>
    </row>
    <row r="932" spans="1:17" s="7" customFormat="1" ht="66" customHeight="1" x14ac:dyDescent="0.25">
      <c r="A932" s="8"/>
      <c r="B932" s="104"/>
      <c r="C932" s="22" t="s">
        <v>302</v>
      </c>
      <c r="D932" s="24" t="s">
        <v>12</v>
      </c>
      <c r="E932" s="55">
        <f>17+16.7</f>
        <v>33.700000000000003</v>
      </c>
      <c r="F932" s="48" t="s">
        <v>24</v>
      </c>
      <c r="G932" s="56">
        <v>15.3</v>
      </c>
      <c r="H932" s="56" t="s">
        <v>24</v>
      </c>
      <c r="I932" s="56">
        <v>1</v>
      </c>
      <c r="J932" s="56" t="s">
        <v>24</v>
      </c>
      <c r="K932" s="25">
        <v>1</v>
      </c>
      <c r="L932" s="32" t="s">
        <v>12</v>
      </c>
      <c r="M932" s="49">
        <f>E932*G932*I932*K932</f>
        <v>515.61</v>
      </c>
      <c r="N932" s="10" t="s">
        <v>25</v>
      </c>
      <c r="O932" s="10"/>
      <c r="P932" s="105"/>
      <c r="Q932" s="6"/>
    </row>
    <row r="933" spans="1:17" s="7" customFormat="1" ht="66" customHeight="1" x14ac:dyDescent="0.25">
      <c r="A933" s="8"/>
      <c r="B933" s="104"/>
      <c r="C933" s="22" t="s">
        <v>303</v>
      </c>
      <c r="D933" s="24" t="s">
        <v>12</v>
      </c>
      <c r="E933" s="55">
        <v>25.9</v>
      </c>
      <c r="F933" s="48" t="s">
        <v>24</v>
      </c>
      <c r="G933" s="56">
        <v>12.7</v>
      </c>
      <c r="H933" s="56" t="s">
        <v>24</v>
      </c>
      <c r="I933" s="56">
        <v>1</v>
      </c>
      <c r="J933" s="56" t="s">
        <v>24</v>
      </c>
      <c r="K933" s="25">
        <v>1</v>
      </c>
      <c r="L933" s="32" t="s">
        <v>12</v>
      </c>
      <c r="M933" s="49">
        <f>E933*G933*I933*K933</f>
        <v>328.92999999999995</v>
      </c>
      <c r="N933" s="10" t="s">
        <v>25</v>
      </c>
      <c r="O933" s="10"/>
      <c r="P933" s="105"/>
      <c r="Q933" s="6"/>
    </row>
    <row r="934" spans="1:17" s="7" customFormat="1" ht="66" customHeight="1" x14ac:dyDescent="0.25">
      <c r="A934" s="8"/>
      <c r="B934" s="104"/>
      <c r="C934" s="22" t="s">
        <v>304</v>
      </c>
      <c r="D934" s="24" t="s">
        <v>12</v>
      </c>
      <c r="E934" s="55">
        <v>25.9</v>
      </c>
      <c r="F934" s="48" t="s">
        <v>24</v>
      </c>
      <c r="G934" s="56">
        <v>15.3</v>
      </c>
      <c r="H934" s="56" t="s">
        <v>24</v>
      </c>
      <c r="I934" s="56">
        <v>1</v>
      </c>
      <c r="J934" s="56" t="s">
        <v>24</v>
      </c>
      <c r="K934" s="25">
        <v>1</v>
      </c>
      <c r="L934" s="32" t="s">
        <v>12</v>
      </c>
      <c r="M934" s="49">
        <f>E934*G934*I934*K934</f>
        <v>396.27</v>
      </c>
      <c r="N934" s="10" t="s">
        <v>25</v>
      </c>
      <c r="O934" s="10"/>
      <c r="P934" s="105"/>
      <c r="Q934" s="6"/>
    </row>
    <row r="935" spans="1:17" s="7" customFormat="1" ht="66" customHeight="1" x14ac:dyDescent="0.25">
      <c r="A935" s="8"/>
      <c r="B935" s="104"/>
      <c r="C935" s="22" t="s">
        <v>305</v>
      </c>
      <c r="D935" s="24" t="s">
        <v>12</v>
      </c>
      <c r="E935" s="48">
        <v>10.4</v>
      </c>
      <c r="F935" s="48" t="s">
        <v>24</v>
      </c>
      <c r="G935" s="56">
        <v>3.1</v>
      </c>
      <c r="H935" s="56" t="s">
        <v>24</v>
      </c>
      <c r="I935" s="56">
        <v>1</v>
      </c>
      <c r="J935" s="56" t="s">
        <v>24</v>
      </c>
      <c r="K935" s="25">
        <v>2</v>
      </c>
      <c r="L935" s="32" t="s">
        <v>12</v>
      </c>
      <c r="M935" s="49">
        <f>E935*G935*I935*K935</f>
        <v>64.48</v>
      </c>
      <c r="N935" s="10" t="s">
        <v>25</v>
      </c>
      <c r="O935" s="10"/>
      <c r="P935" s="105"/>
      <c r="Q935" s="6"/>
    </row>
    <row r="936" spans="1:17" s="7" customFormat="1" ht="66" customHeight="1" x14ac:dyDescent="0.25">
      <c r="A936" s="8"/>
      <c r="B936" s="104"/>
      <c r="C936" s="22" t="s">
        <v>306</v>
      </c>
      <c r="D936" s="24" t="s">
        <v>12</v>
      </c>
      <c r="E936" s="48">
        <v>21.28</v>
      </c>
      <c r="F936" s="48" t="s">
        <v>24</v>
      </c>
      <c r="G936" s="56">
        <v>5.6</v>
      </c>
      <c r="H936" s="56" t="s">
        <v>24</v>
      </c>
      <c r="I936" s="56">
        <v>1</v>
      </c>
      <c r="J936" s="56" t="s">
        <v>24</v>
      </c>
      <c r="K936" s="25">
        <v>1</v>
      </c>
      <c r="L936" s="32" t="s">
        <v>12</v>
      </c>
      <c r="M936" s="49">
        <f t="shared" ref="M936:M968" si="16">E936*G936*I936*K936</f>
        <v>119.16799999999999</v>
      </c>
      <c r="N936" s="10" t="s">
        <v>25</v>
      </c>
      <c r="O936" s="10"/>
      <c r="P936" s="105"/>
      <c r="Q936" s="6"/>
    </row>
    <row r="937" spans="1:17" s="7" customFormat="1" ht="66" customHeight="1" x14ac:dyDescent="0.25">
      <c r="A937" s="8"/>
      <c r="B937" s="104"/>
      <c r="C937" s="22" t="s">
        <v>137</v>
      </c>
      <c r="D937" s="24" t="s">
        <v>12</v>
      </c>
      <c r="E937" s="48">
        <v>22</v>
      </c>
      <c r="F937" s="48" t="s">
        <v>24</v>
      </c>
      <c r="G937" s="56">
        <v>5.6</v>
      </c>
      <c r="H937" s="56" t="s">
        <v>24</v>
      </c>
      <c r="I937" s="56">
        <v>1</v>
      </c>
      <c r="J937" s="56" t="s">
        <v>24</v>
      </c>
      <c r="K937" s="25">
        <v>1</v>
      </c>
      <c r="L937" s="32" t="s">
        <v>12</v>
      </c>
      <c r="M937" s="49">
        <f t="shared" si="16"/>
        <v>123.19999999999999</v>
      </c>
      <c r="N937" s="10" t="s">
        <v>25</v>
      </c>
      <c r="O937" s="10"/>
      <c r="P937" s="105"/>
      <c r="Q937" s="6"/>
    </row>
    <row r="938" spans="1:17" s="7" customFormat="1" ht="66" customHeight="1" x14ac:dyDescent="0.25">
      <c r="A938" s="8"/>
      <c r="B938" s="104"/>
      <c r="C938" s="22" t="s">
        <v>138</v>
      </c>
      <c r="D938" s="24" t="s">
        <v>12</v>
      </c>
      <c r="E938" s="48">
        <v>15.4</v>
      </c>
      <c r="F938" s="48" t="s">
        <v>24</v>
      </c>
      <c r="G938" s="56">
        <v>5.6</v>
      </c>
      <c r="H938" s="56" t="s">
        <v>24</v>
      </c>
      <c r="I938" s="56">
        <v>1</v>
      </c>
      <c r="J938" s="56" t="s">
        <v>24</v>
      </c>
      <c r="K938" s="25">
        <v>1</v>
      </c>
      <c r="L938" s="32" t="s">
        <v>12</v>
      </c>
      <c r="M938" s="49">
        <f t="shared" si="16"/>
        <v>86.24</v>
      </c>
      <c r="N938" s="10" t="s">
        <v>25</v>
      </c>
      <c r="O938" s="10"/>
      <c r="P938" s="105"/>
      <c r="Q938" s="6"/>
    </row>
    <row r="939" spans="1:17" s="7" customFormat="1" ht="66" customHeight="1" x14ac:dyDescent="0.25">
      <c r="A939" s="8"/>
      <c r="B939" s="104"/>
      <c r="C939" s="22" t="s">
        <v>139</v>
      </c>
      <c r="D939" s="24" t="s">
        <v>12</v>
      </c>
      <c r="E939" s="48">
        <v>21.2</v>
      </c>
      <c r="F939" s="48" t="s">
        <v>24</v>
      </c>
      <c r="G939" s="56">
        <v>5.6</v>
      </c>
      <c r="H939" s="56" t="s">
        <v>24</v>
      </c>
      <c r="I939" s="56">
        <v>1</v>
      </c>
      <c r="J939" s="56" t="s">
        <v>24</v>
      </c>
      <c r="K939" s="25">
        <v>1</v>
      </c>
      <c r="L939" s="32" t="s">
        <v>12</v>
      </c>
      <c r="M939" s="49">
        <f t="shared" si="16"/>
        <v>118.71999999999998</v>
      </c>
      <c r="N939" s="10" t="s">
        <v>25</v>
      </c>
      <c r="O939" s="10"/>
      <c r="P939" s="105"/>
      <c r="Q939" s="6"/>
    </row>
    <row r="940" spans="1:17" s="7" customFormat="1" ht="66" customHeight="1" x14ac:dyDescent="0.25">
      <c r="A940" s="8"/>
      <c r="B940" s="104"/>
      <c r="C940" s="22" t="s">
        <v>124</v>
      </c>
      <c r="D940" s="24" t="s">
        <v>12</v>
      </c>
      <c r="E940" s="48">
        <v>22.7</v>
      </c>
      <c r="F940" s="48" t="s">
        <v>24</v>
      </c>
      <c r="G940" s="56">
        <v>5.6</v>
      </c>
      <c r="H940" s="56" t="s">
        <v>24</v>
      </c>
      <c r="I940" s="56">
        <v>1</v>
      </c>
      <c r="J940" s="56" t="s">
        <v>24</v>
      </c>
      <c r="K940" s="25">
        <v>1</v>
      </c>
      <c r="L940" s="32" t="s">
        <v>12</v>
      </c>
      <c r="M940" s="49">
        <f t="shared" si="16"/>
        <v>127.11999999999999</v>
      </c>
      <c r="N940" s="10" t="s">
        <v>25</v>
      </c>
      <c r="O940" s="10"/>
      <c r="P940" s="105"/>
      <c r="Q940" s="6"/>
    </row>
    <row r="941" spans="1:17" s="7" customFormat="1" ht="66" customHeight="1" x14ac:dyDescent="0.25">
      <c r="A941" s="8"/>
      <c r="B941" s="104"/>
      <c r="C941" s="22" t="s">
        <v>104</v>
      </c>
      <c r="D941" s="24" t="s">
        <v>12</v>
      </c>
      <c r="E941" s="48">
        <v>14.6</v>
      </c>
      <c r="F941" s="48" t="s">
        <v>24</v>
      </c>
      <c r="G941" s="56">
        <f>5.6-1.2</f>
        <v>4.3999999999999995</v>
      </c>
      <c r="H941" s="56" t="s">
        <v>24</v>
      </c>
      <c r="I941" s="56">
        <v>1</v>
      </c>
      <c r="J941" s="56" t="s">
        <v>24</v>
      </c>
      <c r="K941" s="25">
        <v>1</v>
      </c>
      <c r="L941" s="32" t="s">
        <v>12</v>
      </c>
      <c r="M941" s="49">
        <f t="shared" si="16"/>
        <v>64.239999999999995</v>
      </c>
      <c r="N941" s="10" t="s">
        <v>25</v>
      </c>
      <c r="O941" s="10"/>
      <c r="P941" s="105"/>
      <c r="Q941" s="6"/>
    </row>
    <row r="942" spans="1:17" s="7" customFormat="1" ht="66" customHeight="1" x14ac:dyDescent="0.25">
      <c r="A942" s="8"/>
      <c r="B942" s="104"/>
      <c r="C942" s="22" t="s">
        <v>140</v>
      </c>
      <c r="D942" s="24" t="s">
        <v>12</v>
      </c>
      <c r="E942" s="48">
        <v>21.2</v>
      </c>
      <c r="F942" s="48" t="s">
        <v>24</v>
      </c>
      <c r="G942" s="56">
        <v>5.6</v>
      </c>
      <c r="H942" s="56" t="s">
        <v>24</v>
      </c>
      <c r="I942" s="56">
        <v>1</v>
      </c>
      <c r="J942" s="56" t="s">
        <v>24</v>
      </c>
      <c r="K942" s="25">
        <v>1</v>
      </c>
      <c r="L942" s="32" t="s">
        <v>12</v>
      </c>
      <c r="M942" s="49">
        <f t="shared" si="16"/>
        <v>118.71999999999998</v>
      </c>
      <c r="N942" s="10" t="s">
        <v>25</v>
      </c>
      <c r="O942" s="10"/>
      <c r="P942" s="105"/>
      <c r="Q942" s="6"/>
    </row>
    <row r="943" spans="1:17" s="7" customFormat="1" ht="66" customHeight="1" x14ac:dyDescent="0.25">
      <c r="A943" s="8"/>
      <c r="B943" s="104"/>
      <c r="C943" s="22" t="s">
        <v>141</v>
      </c>
      <c r="D943" s="24" t="s">
        <v>12</v>
      </c>
      <c r="E943" s="48">
        <v>16.7</v>
      </c>
      <c r="F943" s="48" t="s">
        <v>24</v>
      </c>
      <c r="G943" s="56">
        <v>5.6</v>
      </c>
      <c r="H943" s="56" t="s">
        <v>24</v>
      </c>
      <c r="I943" s="56">
        <v>1</v>
      </c>
      <c r="J943" s="56" t="s">
        <v>24</v>
      </c>
      <c r="K943" s="25">
        <v>1</v>
      </c>
      <c r="L943" s="32" t="s">
        <v>12</v>
      </c>
      <c r="M943" s="49">
        <f>E943*G943*I943*K943</f>
        <v>93.52</v>
      </c>
      <c r="N943" s="10" t="s">
        <v>25</v>
      </c>
      <c r="O943" s="10"/>
      <c r="P943" s="105"/>
      <c r="Q943" s="6"/>
    </row>
    <row r="944" spans="1:17" s="7" customFormat="1" ht="66" customHeight="1" x14ac:dyDescent="0.25">
      <c r="A944" s="8"/>
      <c r="B944" s="104"/>
      <c r="C944" s="22" t="s">
        <v>142</v>
      </c>
      <c r="D944" s="24" t="s">
        <v>12</v>
      </c>
      <c r="E944" s="48">
        <v>16.5</v>
      </c>
      <c r="F944" s="48" t="s">
        <v>24</v>
      </c>
      <c r="G944" s="56">
        <v>5.6</v>
      </c>
      <c r="H944" s="56" t="s">
        <v>24</v>
      </c>
      <c r="I944" s="56">
        <v>1</v>
      </c>
      <c r="J944" s="56" t="s">
        <v>24</v>
      </c>
      <c r="K944" s="25">
        <v>1</v>
      </c>
      <c r="L944" s="32" t="s">
        <v>12</v>
      </c>
      <c r="M944" s="49">
        <f t="shared" si="16"/>
        <v>92.399999999999991</v>
      </c>
      <c r="N944" s="10" t="s">
        <v>25</v>
      </c>
      <c r="O944" s="10"/>
      <c r="P944" s="105"/>
      <c r="Q944" s="6"/>
    </row>
    <row r="945" spans="1:17" s="7" customFormat="1" ht="66" customHeight="1" x14ac:dyDescent="0.25">
      <c r="A945" s="8"/>
      <c r="B945" s="104"/>
      <c r="C945" s="22" t="s">
        <v>161</v>
      </c>
      <c r="D945" s="24" t="s">
        <v>12</v>
      </c>
      <c r="E945" s="48">
        <v>11.04</v>
      </c>
      <c r="F945" s="48" t="s">
        <v>24</v>
      </c>
      <c r="G945" s="56">
        <v>5.6</v>
      </c>
      <c r="H945" s="56" t="s">
        <v>24</v>
      </c>
      <c r="I945" s="56">
        <v>1</v>
      </c>
      <c r="J945" s="56" t="s">
        <v>24</v>
      </c>
      <c r="K945" s="25">
        <v>1</v>
      </c>
      <c r="L945" s="32" t="s">
        <v>12</v>
      </c>
      <c r="M945" s="49">
        <f>E945*G945*I945*K945</f>
        <v>61.823999999999991</v>
      </c>
      <c r="N945" s="10" t="s">
        <v>25</v>
      </c>
      <c r="O945" s="10"/>
      <c r="P945" s="105"/>
      <c r="Q945" s="6"/>
    </row>
    <row r="946" spans="1:17" s="7" customFormat="1" ht="66" customHeight="1" x14ac:dyDescent="0.25">
      <c r="A946" s="8"/>
      <c r="B946" s="104"/>
      <c r="C946" s="22" t="s">
        <v>307</v>
      </c>
      <c r="D946" s="24" t="s">
        <v>12</v>
      </c>
      <c r="E946" s="48">
        <v>10.46</v>
      </c>
      <c r="F946" s="48" t="s">
        <v>24</v>
      </c>
      <c r="G946" s="56">
        <v>5.6</v>
      </c>
      <c r="H946" s="56" t="s">
        <v>24</v>
      </c>
      <c r="I946" s="56">
        <v>1</v>
      </c>
      <c r="J946" s="56" t="s">
        <v>24</v>
      </c>
      <c r="K946" s="25">
        <v>1</v>
      </c>
      <c r="L946" s="32" t="s">
        <v>12</v>
      </c>
      <c r="M946" s="49">
        <f t="shared" si="16"/>
        <v>58.576000000000001</v>
      </c>
      <c r="N946" s="10" t="s">
        <v>25</v>
      </c>
      <c r="O946" s="10"/>
      <c r="P946" s="105"/>
      <c r="Q946" s="6"/>
    </row>
    <row r="947" spans="1:17" s="7" customFormat="1" ht="66" customHeight="1" x14ac:dyDescent="0.25">
      <c r="A947" s="8"/>
      <c r="B947" s="104"/>
      <c r="C947" s="22" t="s">
        <v>58</v>
      </c>
      <c r="D947" s="24" t="s">
        <v>12</v>
      </c>
      <c r="E947" s="48">
        <v>26.1</v>
      </c>
      <c r="F947" s="48" t="s">
        <v>24</v>
      </c>
      <c r="G947" s="56">
        <v>5.6</v>
      </c>
      <c r="H947" s="56" t="s">
        <v>24</v>
      </c>
      <c r="I947" s="56">
        <v>1</v>
      </c>
      <c r="J947" s="56" t="s">
        <v>24</v>
      </c>
      <c r="K947" s="25">
        <v>1</v>
      </c>
      <c r="L947" s="32" t="s">
        <v>12</v>
      </c>
      <c r="M947" s="49">
        <f t="shared" si="16"/>
        <v>146.16</v>
      </c>
      <c r="N947" s="10" t="s">
        <v>25</v>
      </c>
      <c r="O947" s="10"/>
      <c r="P947" s="105"/>
      <c r="Q947" s="6"/>
    </row>
    <row r="948" spans="1:17" s="7" customFormat="1" ht="66" customHeight="1" x14ac:dyDescent="0.25">
      <c r="A948" s="8"/>
      <c r="B948" s="104"/>
      <c r="C948" s="22" t="s">
        <v>123</v>
      </c>
      <c r="D948" s="24" t="s">
        <v>12</v>
      </c>
      <c r="E948" s="48">
        <v>9.4</v>
      </c>
      <c r="F948" s="48" t="s">
        <v>24</v>
      </c>
      <c r="G948" s="56">
        <f>5.6-1.5</f>
        <v>4.0999999999999996</v>
      </c>
      <c r="H948" s="56" t="s">
        <v>24</v>
      </c>
      <c r="I948" s="56">
        <v>1</v>
      </c>
      <c r="J948" s="56" t="s">
        <v>24</v>
      </c>
      <c r="K948" s="25">
        <v>1</v>
      </c>
      <c r="L948" s="32" t="s">
        <v>12</v>
      </c>
      <c r="M948" s="49">
        <f t="shared" si="16"/>
        <v>38.54</v>
      </c>
      <c r="N948" s="10" t="s">
        <v>25</v>
      </c>
      <c r="O948" s="10"/>
      <c r="P948" s="105"/>
      <c r="Q948" s="6"/>
    </row>
    <row r="949" spans="1:17" s="7" customFormat="1" ht="66" customHeight="1" x14ac:dyDescent="0.25">
      <c r="A949" s="8"/>
      <c r="B949" s="104"/>
      <c r="C949" s="22" t="s">
        <v>106</v>
      </c>
      <c r="D949" s="24" t="s">
        <v>12</v>
      </c>
      <c r="E949" s="48">
        <v>11</v>
      </c>
      <c r="F949" s="48" t="s">
        <v>24</v>
      </c>
      <c r="G949" s="56">
        <f>5.6-1.5</f>
        <v>4.0999999999999996</v>
      </c>
      <c r="H949" s="56" t="s">
        <v>24</v>
      </c>
      <c r="I949" s="56">
        <v>1</v>
      </c>
      <c r="J949" s="56" t="s">
        <v>24</v>
      </c>
      <c r="K949" s="25">
        <v>1</v>
      </c>
      <c r="L949" s="32" t="s">
        <v>12</v>
      </c>
      <c r="M949" s="49">
        <f t="shared" si="16"/>
        <v>45.099999999999994</v>
      </c>
      <c r="N949" s="10" t="s">
        <v>25</v>
      </c>
      <c r="O949" s="10"/>
      <c r="P949" s="105"/>
      <c r="Q949" s="6"/>
    </row>
    <row r="950" spans="1:17" s="7" customFormat="1" ht="66" customHeight="1" x14ac:dyDescent="0.25">
      <c r="A950" s="8"/>
      <c r="B950" s="104"/>
      <c r="C950" s="22" t="s">
        <v>107</v>
      </c>
      <c r="D950" s="24" t="s">
        <v>12</v>
      </c>
      <c r="E950" s="48">
        <v>10.89</v>
      </c>
      <c r="F950" s="48" t="s">
        <v>24</v>
      </c>
      <c r="G950" s="56">
        <f>5.6-1.5</f>
        <v>4.0999999999999996</v>
      </c>
      <c r="H950" s="56" t="s">
        <v>24</v>
      </c>
      <c r="I950" s="56">
        <v>1</v>
      </c>
      <c r="J950" s="56" t="s">
        <v>24</v>
      </c>
      <c r="K950" s="25">
        <v>1</v>
      </c>
      <c r="L950" s="32" t="s">
        <v>12</v>
      </c>
      <c r="M950" s="49">
        <f t="shared" si="16"/>
        <v>44.649000000000001</v>
      </c>
      <c r="N950" s="10" t="s">
        <v>25</v>
      </c>
      <c r="O950" s="10"/>
      <c r="P950" s="105"/>
      <c r="Q950" s="6"/>
    </row>
    <row r="951" spans="1:17" s="7" customFormat="1" ht="66" customHeight="1" x14ac:dyDescent="0.25">
      <c r="A951" s="8"/>
      <c r="B951" s="104"/>
      <c r="C951" s="22" t="s">
        <v>59</v>
      </c>
      <c r="D951" s="24" t="s">
        <v>12</v>
      </c>
      <c r="E951" s="48">
        <v>25.7</v>
      </c>
      <c r="F951" s="48" t="s">
        <v>24</v>
      </c>
      <c r="G951" s="56">
        <v>5.6</v>
      </c>
      <c r="H951" s="56" t="s">
        <v>24</v>
      </c>
      <c r="I951" s="56">
        <v>1</v>
      </c>
      <c r="J951" s="56" t="s">
        <v>24</v>
      </c>
      <c r="K951" s="25">
        <v>1</v>
      </c>
      <c r="L951" s="32" t="s">
        <v>12</v>
      </c>
      <c r="M951" s="49">
        <f>E951*G951*I951*K951</f>
        <v>143.91999999999999</v>
      </c>
      <c r="N951" s="10" t="s">
        <v>25</v>
      </c>
      <c r="O951" s="10"/>
      <c r="P951" s="105"/>
      <c r="Q951" s="6"/>
    </row>
    <row r="952" spans="1:17" s="7" customFormat="1" ht="66" customHeight="1" x14ac:dyDescent="0.25">
      <c r="A952" s="8"/>
      <c r="B952" s="104"/>
      <c r="C952" s="22" t="s">
        <v>130</v>
      </c>
      <c r="D952" s="24" t="s">
        <v>12</v>
      </c>
      <c r="E952" s="48">
        <v>45.85</v>
      </c>
      <c r="F952" s="48" t="s">
        <v>24</v>
      </c>
      <c r="G952" s="56">
        <v>5.6</v>
      </c>
      <c r="H952" s="56" t="s">
        <v>24</v>
      </c>
      <c r="I952" s="56">
        <v>1</v>
      </c>
      <c r="J952" s="56" t="s">
        <v>24</v>
      </c>
      <c r="K952" s="25">
        <v>1</v>
      </c>
      <c r="L952" s="32" t="s">
        <v>12</v>
      </c>
      <c r="M952" s="49">
        <f t="shared" si="16"/>
        <v>256.76</v>
      </c>
      <c r="N952" s="10" t="s">
        <v>25</v>
      </c>
      <c r="O952" s="10"/>
      <c r="P952" s="105"/>
      <c r="Q952" s="6"/>
    </row>
    <row r="953" spans="1:17" s="7" customFormat="1" ht="66" customHeight="1" x14ac:dyDescent="0.25">
      <c r="A953" s="8"/>
      <c r="B953" s="104"/>
      <c r="C953" s="22" t="s">
        <v>131</v>
      </c>
      <c r="D953" s="24" t="s">
        <v>12</v>
      </c>
      <c r="E953" s="48">
        <f>12.8+12.65</f>
        <v>25.450000000000003</v>
      </c>
      <c r="F953" s="48" t="s">
        <v>24</v>
      </c>
      <c r="G953" s="56">
        <v>1</v>
      </c>
      <c r="H953" s="56" t="s">
        <v>24</v>
      </c>
      <c r="I953" s="56">
        <v>1</v>
      </c>
      <c r="J953" s="56" t="s">
        <v>24</v>
      </c>
      <c r="K953" s="25">
        <v>1</v>
      </c>
      <c r="L953" s="32" t="s">
        <v>12</v>
      </c>
      <c r="M953" s="49">
        <f t="shared" si="16"/>
        <v>25.450000000000003</v>
      </c>
      <c r="N953" s="10" t="s">
        <v>25</v>
      </c>
      <c r="O953" s="10"/>
      <c r="P953" s="105"/>
      <c r="Q953" s="6"/>
    </row>
    <row r="954" spans="1:17" s="7" customFormat="1" ht="66" customHeight="1" x14ac:dyDescent="0.25">
      <c r="A954" s="8"/>
      <c r="B954" s="104"/>
      <c r="C954" s="22" t="s">
        <v>60</v>
      </c>
      <c r="D954" s="24" t="s">
        <v>12</v>
      </c>
      <c r="E954" s="48">
        <v>17</v>
      </c>
      <c r="F954" s="48" t="s">
        <v>24</v>
      </c>
      <c r="G954" s="56">
        <v>5.6</v>
      </c>
      <c r="H954" s="56" t="s">
        <v>24</v>
      </c>
      <c r="I954" s="56">
        <v>1</v>
      </c>
      <c r="J954" s="56" t="s">
        <v>24</v>
      </c>
      <c r="K954" s="25">
        <v>1</v>
      </c>
      <c r="L954" s="32" t="s">
        <v>12</v>
      </c>
      <c r="M954" s="49">
        <f t="shared" si="16"/>
        <v>95.199999999999989</v>
      </c>
      <c r="N954" s="10" t="s">
        <v>25</v>
      </c>
      <c r="O954" s="10"/>
      <c r="P954" s="105"/>
      <c r="Q954" s="6"/>
    </row>
    <row r="955" spans="1:17" s="7" customFormat="1" ht="66" customHeight="1" x14ac:dyDescent="0.25">
      <c r="A955" s="8"/>
      <c r="B955" s="104"/>
      <c r="C955" s="22" t="s">
        <v>63</v>
      </c>
      <c r="D955" s="24" t="s">
        <v>12</v>
      </c>
      <c r="E955" s="48">
        <v>46.35</v>
      </c>
      <c r="F955" s="48" t="s">
        <v>24</v>
      </c>
      <c r="G955" s="56">
        <v>5.6</v>
      </c>
      <c r="H955" s="56" t="s">
        <v>24</v>
      </c>
      <c r="I955" s="56">
        <v>1</v>
      </c>
      <c r="J955" s="56" t="s">
        <v>24</v>
      </c>
      <c r="K955" s="25">
        <v>1</v>
      </c>
      <c r="L955" s="32" t="s">
        <v>12</v>
      </c>
      <c r="M955" s="49">
        <f t="shared" si="16"/>
        <v>259.56</v>
      </c>
      <c r="N955" s="10" t="s">
        <v>25</v>
      </c>
      <c r="O955" s="10"/>
      <c r="P955" s="105"/>
      <c r="Q955" s="6"/>
    </row>
    <row r="956" spans="1:17" s="7" customFormat="1" ht="66" customHeight="1" x14ac:dyDescent="0.25">
      <c r="A956" s="8"/>
      <c r="B956" s="104"/>
      <c r="C956" s="22" t="s">
        <v>308</v>
      </c>
      <c r="D956" s="24" t="s">
        <v>12</v>
      </c>
      <c r="E956" s="48">
        <v>25.2</v>
      </c>
      <c r="F956" s="48" t="s">
        <v>24</v>
      </c>
      <c r="G956" s="56">
        <v>1</v>
      </c>
      <c r="H956" s="56" t="s">
        <v>24</v>
      </c>
      <c r="I956" s="56">
        <v>1</v>
      </c>
      <c r="J956" s="56" t="s">
        <v>24</v>
      </c>
      <c r="K956" s="25">
        <v>1</v>
      </c>
      <c r="L956" s="32" t="s">
        <v>12</v>
      </c>
      <c r="M956" s="49">
        <f t="shared" si="16"/>
        <v>25.2</v>
      </c>
      <c r="N956" s="10" t="s">
        <v>25</v>
      </c>
      <c r="O956" s="10"/>
      <c r="P956" s="105"/>
      <c r="Q956" s="6"/>
    </row>
    <row r="957" spans="1:17" s="7" customFormat="1" ht="66" customHeight="1" x14ac:dyDescent="0.25">
      <c r="A957" s="8"/>
      <c r="B957" s="104"/>
      <c r="C957" s="22" t="s">
        <v>61</v>
      </c>
      <c r="D957" s="24" t="s">
        <v>12</v>
      </c>
      <c r="E957" s="48">
        <v>27.4</v>
      </c>
      <c r="F957" s="48" t="s">
        <v>24</v>
      </c>
      <c r="G957" s="56">
        <v>5.6</v>
      </c>
      <c r="H957" s="56" t="s">
        <v>24</v>
      </c>
      <c r="I957" s="56">
        <v>1</v>
      </c>
      <c r="J957" s="56" t="s">
        <v>24</v>
      </c>
      <c r="K957" s="25">
        <v>1</v>
      </c>
      <c r="L957" s="32" t="s">
        <v>12</v>
      </c>
      <c r="M957" s="49">
        <f t="shared" si="16"/>
        <v>153.43999999999997</v>
      </c>
      <c r="N957" s="10" t="s">
        <v>25</v>
      </c>
      <c r="O957" s="10"/>
      <c r="P957" s="105"/>
      <c r="Q957" s="6"/>
    </row>
    <row r="958" spans="1:17" s="7" customFormat="1" ht="66" customHeight="1" x14ac:dyDescent="0.25">
      <c r="A958" s="8"/>
      <c r="B958" s="104"/>
      <c r="C958" s="22" t="s">
        <v>62</v>
      </c>
      <c r="D958" s="24" t="s">
        <v>12</v>
      </c>
      <c r="E958" s="48">
        <v>18</v>
      </c>
      <c r="F958" s="48" t="s">
        <v>24</v>
      </c>
      <c r="G958" s="56">
        <v>5.6</v>
      </c>
      <c r="H958" s="56" t="s">
        <v>24</v>
      </c>
      <c r="I958" s="56">
        <v>1</v>
      </c>
      <c r="J958" s="56" t="s">
        <v>24</v>
      </c>
      <c r="K958" s="25">
        <v>1</v>
      </c>
      <c r="L958" s="32" t="s">
        <v>12</v>
      </c>
      <c r="M958" s="49">
        <f t="shared" si="16"/>
        <v>100.8</v>
      </c>
      <c r="N958" s="10" t="s">
        <v>25</v>
      </c>
      <c r="O958" s="10"/>
      <c r="P958" s="105"/>
      <c r="Q958" s="6"/>
    </row>
    <row r="959" spans="1:17" s="7" customFormat="1" ht="66" customHeight="1" x14ac:dyDescent="0.25">
      <c r="A959" s="8"/>
      <c r="B959" s="104"/>
      <c r="C959" s="22" t="s">
        <v>64</v>
      </c>
      <c r="D959" s="24" t="s">
        <v>12</v>
      </c>
      <c r="E959" s="48">
        <v>31.1</v>
      </c>
      <c r="F959" s="48" t="s">
        <v>24</v>
      </c>
      <c r="G959" s="56">
        <v>5.6</v>
      </c>
      <c r="H959" s="56" t="s">
        <v>24</v>
      </c>
      <c r="I959" s="56">
        <v>1</v>
      </c>
      <c r="J959" s="56" t="s">
        <v>24</v>
      </c>
      <c r="K959" s="25">
        <v>1</v>
      </c>
      <c r="L959" s="32" t="s">
        <v>12</v>
      </c>
      <c r="M959" s="49">
        <f t="shared" si="16"/>
        <v>174.16</v>
      </c>
      <c r="N959" s="10" t="s">
        <v>25</v>
      </c>
      <c r="O959" s="10"/>
      <c r="P959" s="105"/>
      <c r="Q959" s="6"/>
    </row>
    <row r="960" spans="1:17" s="7" customFormat="1" ht="66" customHeight="1" x14ac:dyDescent="0.25">
      <c r="A960" s="8"/>
      <c r="B960" s="104"/>
      <c r="C960" s="22" t="s">
        <v>65</v>
      </c>
      <c r="D960" s="24" t="s">
        <v>12</v>
      </c>
      <c r="E960" s="48">
        <v>17.2</v>
      </c>
      <c r="F960" s="48" t="s">
        <v>24</v>
      </c>
      <c r="G960" s="56">
        <v>5.6</v>
      </c>
      <c r="H960" s="56" t="s">
        <v>24</v>
      </c>
      <c r="I960" s="56">
        <v>1</v>
      </c>
      <c r="J960" s="56" t="s">
        <v>24</v>
      </c>
      <c r="K960" s="25">
        <v>1</v>
      </c>
      <c r="L960" s="32" t="s">
        <v>12</v>
      </c>
      <c r="M960" s="49">
        <f t="shared" si="16"/>
        <v>96.32</v>
      </c>
      <c r="N960" s="10" t="s">
        <v>25</v>
      </c>
      <c r="O960" s="10"/>
      <c r="P960" s="105"/>
      <c r="Q960" s="6"/>
    </row>
    <row r="961" spans="1:17" s="7" customFormat="1" ht="66" customHeight="1" x14ac:dyDescent="0.25">
      <c r="A961" s="8"/>
      <c r="B961" s="104"/>
      <c r="C961" s="22" t="s">
        <v>66</v>
      </c>
      <c r="D961" s="24" t="s">
        <v>12</v>
      </c>
      <c r="E961" s="48">
        <v>43.9</v>
      </c>
      <c r="F961" s="48" t="s">
        <v>24</v>
      </c>
      <c r="G961" s="56">
        <v>5.6</v>
      </c>
      <c r="H961" s="56" t="s">
        <v>24</v>
      </c>
      <c r="I961" s="56">
        <v>1</v>
      </c>
      <c r="J961" s="56" t="s">
        <v>24</v>
      </c>
      <c r="K961" s="25">
        <v>1</v>
      </c>
      <c r="L961" s="32" t="s">
        <v>12</v>
      </c>
      <c r="M961" s="49">
        <f t="shared" si="16"/>
        <v>245.83999999999997</v>
      </c>
      <c r="N961" s="10" t="s">
        <v>25</v>
      </c>
      <c r="O961" s="10"/>
      <c r="P961" s="105"/>
      <c r="Q961" s="6"/>
    </row>
    <row r="962" spans="1:17" s="7" customFormat="1" ht="66" customHeight="1" x14ac:dyDescent="0.25">
      <c r="A962" s="8"/>
      <c r="B962" s="104"/>
      <c r="C962" s="22" t="s">
        <v>67</v>
      </c>
      <c r="D962" s="24" t="s">
        <v>12</v>
      </c>
      <c r="E962" s="48">
        <v>10.1</v>
      </c>
      <c r="F962" s="48" t="s">
        <v>24</v>
      </c>
      <c r="G962" s="56">
        <f>5.6-1.5</f>
        <v>4.0999999999999996</v>
      </c>
      <c r="H962" s="56" t="s">
        <v>24</v>
      </c>
      <c r="I962" s="56">
        <v>1</v>
      </c>
      <c r="J962" s="56" t="s">
        <v>24</v>
      </c>
      <c r="K962" s="25">
        <v>1</v>
      </c>
      <c r="L962" s="32" t="s">
        <v>12</v>
      </c>
      <c r="M962" s="49">
        <f t="shared" si="16"/>
        <v>41.41</v>
      </c>
      <c r="N962" s="10" t="s">
        <v>25</v>
      </c>
      <c r="O962" s="10"/>
      <c r="P962" s="105"/>
      <c r="Q962" s="6"/>
    </row>
    <row r="963" spans="1:17" s="7" customFormat="1" ht="66" customHeight="1" x14ac:dyDescent="0.25">
      <c r="A963" s="8"/>
      <c r="B963" s="104"/>
      <c r="C963" s="22" t="s">
        <v>109</v>
      </c>
      <c r="D963" s="24" t="s">
        <v>12</v>
      </c>
      <c r="E963" s="48">
        <v>11.6</v>
      </c>
      <c r="F963" s="48" t="s">
        <v>24</v>
      </c>
      <c r="G963" s="56">
        <f>5.6-1.5</f>
        <v>4.0999999999999996</v>
      </c>
      <c r="H963" s="56" t="s">
        <v>24</v>
      </c>
      <c r="I963" s="56">
        <v>1</v>
      </c>
      <c r="J963" s="56" t="s">
        <v>24</v>
      </c>
      <c r="K963" s="25">
        <v>1</v>
      </c>
      <c r="L963" s="32" t="s">
        <v>12</v>
      </c>
      <c r="M963" s="49">
        <f t="shared" si="16"/>
        <v>47.559999999999995</v>
      </c>
      <c r="N963" s="10" t="s">
        <v>25</v>
      </c>
      <c r="O963" s="10"/>
      <c r="P963" s="105"/>
      <c r="Q963" s="6"/>
    </row>
    <row r="964" spans="1:17" s="7" customFormat="1" ht="66" customHeight="1" x14ac:dyDescent="0.25">
      <c r="A964" s="8"/>
      <c r="B964" s="104"/>
      <c r="C964" s="22" t="s">
        <v>110</v>
      </c>
      <c r="D964" s="24" t="s">
        <v>12</v>
      </c>
      <c r="E964" s="48">
        <v>11.2</v>
      </c>
      <c r="F964" s="48" t="s">
        <v>24</v>
      </c>
      <c r="G964" s="56">
        <f>5.6-1.5</f>
        <v>4.0999999999999996</v>
      </c>
      <c r="H964" s="56" t="s">
        <v>24</v>
      </c>
      <c r="I964" s="56">
        <v>1</v>
      </c>
      <c r="J964" s="56" t="s">
        <v>24</v>
      </c>
      <c r="K964" s="25">
        <v>1</v>
      </c>
      <c r="L964" s="32" t="s">
        <v>12</v>
      </c>
      <c r="M964" s="49">
        <f t="shared" si="16"/>
        <v>45.919999999999995</v>
      </c>
      <c r="N964" s="10" t="s">
        <v>25</v>
      </c>
      <c r="O964" s="10"/>
      <c r="P964" s="105"/>
      <c r="Q964" s="6"/>
    </row>
    <row r="965" spans="1:17" s="7" customFormat="1" ht="66" customHeight="1" x14ac:dyDescent="0.25">
      <c r="A965" s="8"/>
      <c r="B965" s="104"/>
      <c r="C965" s="22" t="s">
        <v>70</v>
      </c>
      <c r="D965" s="24" t="s">
        <v>12</v>
      </c>
      <c r="E965" s="48">
        <v>27.2</v>
      </c>
      <c r="F965" s="48" t="s">
        <v>24</v>
      </c>
      <c r="G965" s="56">
        <v>5.6</v>
      </c>
      <c r="H965" s="56" t="s">
        <v>24</v>
      </c>
      <c r="I965" s="56">
        <v>1</v>
      </c>
      <c r="J965" s="56" t="s">
        <v>24</v>
      </c>
      <c r="K965" s="25">
        <v>1</v>
      </c>
      <c r="L965" s="32" t="s">
        <v>12</v>
      </c>
      <c r="M965" s="49">
        <f t="shared" si="16"/>
        <v>152.32</v>
      </c>
      <c r="N965" s="10" t="s">
        <v>25</v>
      </c>
      <c r="O965" s="10"/>
      <c r="P965" s="105"/>
      <c r="Q965" s="6"/>
    </row>
    <row r="966" spans="1:17" s="7" customFormat="1" ht="66" customHeight="1" x14ac:dyDescent="0.25">
      <c r="A966" s="8"/>
      <c r="B966" s="104"/>
      <c r="C966" s="22" t="s">
        <v>71</v>
      </c>
      <c r="D966" s="24" t="s">
        <v>12</v>
      </c>
      <c r="E966" s="48">
        <v>18.7</v>
      </c>
      <c r="F966" s="48" t="s">
        <v>24</v>
      </c>
      <c r="G966" s="56">
        <f>2.8-1.2</f>
        <v>1.5999999999999999</v>
      </c>
      <c r="H966" s="56" t="s">
        <v>24</v>
      </c>
      <c r="I966" s="56">
        <v>1</v>
      </c>
      <c r="J966" s="56" t="s">
        <v>24</v>
      </c>
      <c r="K966" s="25">
        <v>1</v>
      </c>
      <c r="L966" s="32" t="s">
        <v>12</v>
      </c>
      <c r="M966" s="49">
        <f t="shared" si="16"/>
        <v>29.919999999999995</v>
      </c>
      <c r="N966" s="10" t="s">
        <v>25</v>
      </c>
      <c r="O966" s="10"/>
      <c r="P966" s="105"/>
      <c r="Q966" s="6"/>
    </row>
    <row r="967" spans="1:17" s="7" customFormat="1" ht="66" customHeight="1" x14ac:dyDescent="0.25">
      <c r="A967" s="8"/>
      <c r="B967" s="104"/>
      <c r="C967" s="22" t="s">
        <v>72</v>
      </c>
      <c r="D967" s="24" t="s">
        <v>12</v>
      </c>
      <c r="E967" s="48">
        <v>15.7</v>
      </c>
      <c r="F967" s="48" t="s">
        <v>24</v>
      </c>
      <c r="G967" s="56">
        <f>2.8-1.5</f>
        <v>1.2999999999999998</v>
      </c>
      <c r="H967" s="56" t="s">
        <v>24</v>
      </c>
      <c r="I967" s="56">
        <v>1</v>
      </c>
      <c r="J967" s="56" t="s">
        <v>24</v>
      </c>
      <c r="K967" s="25">
        <v>1</v>
      </c>
      <c r="L967" s="32" t="s">
        <v>12</v>
      </c>
      <c r="M967" s="49">
        <f t="shared" si="16"/>
        <v>20.409999999999997</v>
      </c>
      <c r="N967" s="10" t="s">
        <v>25</v>
      </c>
      <c r="O967" s="10"/>
      <c r="P967" s="105"/>
      <c r="Q967" s="6"/>
    </row>
    <row r="968" spans="1:17" s="7" customFormat="1" ht="66" customHeight="1" x14ac:dyDescent="0.25">
      <c r="A968" s="8"/>
      <c r="B968" s="104"/>
      <c r="C968" s="22" t="s">
        <v>125</v>
      </c>
      <c r="D968" s="24" t="s">
        <v>12</v>
      </c>
      <c r="E968" s="48">
        <v>23.3</v>
      </c>
      <c r="F968" s="48" t="s">
        <v>24</v>
      </c>
      <c r="G968" s="56">
        <v>2.8</v>
      </c>
      <c r="H968" s="56" t="s">
        <v>24</v>
      </c>
      <c r="I968" s="56">
        <v>1</v>
      </c>
      <c r="J968" s="56" t="s">
        <v>24</v>
      </c>
      <c r="K968" s="25">
        <v>1</v>
      </c>
      <c r="L968" s="32" t="s">
        <v>12</v>
      </c>
      <c r="M968" s="49">
        <f t="shared" si="16"/>
        <v>65.239999999999995</v>
      </c>
      <c r="N968" s="10" t="s">
        <v>25</v>
      </c>
      <c r="O968" s="10"/>
      <c r="P968" s="105"/>
      <c r="Q968" s="6"/>
    </row>
    <row r="969" spans="1:17" s="7" customFormat="1" ht="66" customHeight="1" x14ac:dyDescent="0.25">
      <c r="A969" s="8"/>
      <c r="B969" s="104"/>
      <c r="C969" s="22"/>
      <c r="D969" s="24"/>
      <c r="E969" s="48"/>
      <c r="F969" s="48"/>
      <c r="G969" s="56"/>
      <c r="H969" s="56"/>
      <c r="I969" s="56"/>
      <c r="J969" s="56"/>
      <c r="K969" s="25"/>
      <c r="L969" s="32"/>
      <c r="M969" s="49"/>
      <c r="N969" s="10"/>
      <c r="O969" s="10"/>
      <c r="P969" s="105"/>
      <c r="Q969" s="6"/>
    </row>
    <row r="970" spans="1:17" s="7" customFormat="1" ht="66" customHeight="1" x14ac:dyDescent="0.25">
      <c r="A970" s="8"/>
      <c r="B970" s="104"/>
      <c r="C970" s="53" t="s">
        <v>309</v>
      </c>
      <c r="D970" s="54"/>
      <c r="E970" s="55"/>
      <c r="F970" s="55"/>
      <c r="G970" s="67"/>
      <c r="H970" s="67"/>
      <c r="I970" s="67"/>
      <c r="J970" s="67"/>
      <c r="K970" s="55"/>
      <c r="L970" s="54"/>
      <c r="M970" s="67"/>
      <c r="N970" s="106"/>
      <c r="O970" s="10"/>
      <c r="P970" s="105"/>
      <c r="Q970" s="6"/>
    </row>
    <row r="971" spans="1:17" s="7" customFormat="1" ht="66" customHeight="1" x14ac:dyDescent="0.25">
      <c r="A971" s="8"/>
      <c r="B971" s="104"/>
      <c r="C971" s="53"/>
      <c r="D971" s="54"/>
      <c r="E971" s="55"/>
      <c r="F971" s="55"/>
      <c r="G971" s="67"/>
      <c r="H971" s="67"/>
      <c r="I971" s="67"/>
      <c r="J971" s="67"/>
      <c r="K971" s="55"/>
      <c r="L971" s="54"/>
      <c r="M971" s="67"/>
      <c r="N971" s="106"/>
      <c r="O971" s="10"/>
      <c r="P971" s="105"/>
      <c r="Q971" s="6"/>
    </row>
    <row r="972" spans="1:17" s="7" customFormat="1" ht="66" customHeight="1" x14ac:dyDescent="0.25">
      <c r="A972" s="8"/>
      <c r="B972" s="104"/>
      <c r="C972" s="53" t="s">
        <v>106</v>
      </c>
      <c r="D972" s="54" t="s">
        <v>12</v>
      </c>
      <c r="E972" s="55">
        <f>2.8+0.83</f>
        <v>3.63</v>
      </c>
      <c r="F972" s="55" t="s">
        <v>24</v>
      </c>
      <c r="G972" s="67">
        <v>1.8</v>
      </c>
      <c r="H972" s="67" t="s">
        <v>24</v>
      </c>
      <c r="I972" s="67">
        <v>1</v>
      </c>
      <c r="J972" s="67" t="s">
        <v>24</v>
      </c>
      <c r="K972" s="55">
        <v>2</v>
      </c>
      <c r="L972" s="54" t="s">
        <v>12</v>
      </c>
      <c r="M972" s="67">
        <f>E972*G972*I972*K972</f>
        <v>13.068</v>
      </c>
      <c r="N972" s="106" t="s">
        <v>25</v>
      </c>
      <c r="O972" s="10"/>
      <c r="P972" s="105"/>
      <c r="Q972" s="6"/>
    </row>
    <row r="973" spans="1:17" s="7" customFormat="1" ht="66" customHeight="1" x14ac:dyDescent="0.25">
      <c r="A973" s="8"/>
      <c r="B973" s="104"/>
      <c r="C973" s="53" t="s">
        <v>107</v>
      </c>
      <c r="D973" s="54" t="s">
        <v>12</v>
      </c>
      <c r="E973" s="55">
        <f>2.8+0.83</f>
        <v>3.63</v>
      </c>
      <c r="F973" s="55" t="s">
        <v>24</v>
      </c>
      <c r="G973" s="67">
        <v>1.8</v>
      </c>
      <c r="H973" s="67" t="s">
        <v>24</v>
      </c>
      <c r="I973" s="67">
        <v>1</v>
      </c>
      <c r="J973" s="67" t="s">
        <v>24</v>
      </c>
      <c r="K973" s="55">
        <v>2</v>
      </c>
      <c r="L973" s="54" t="s">
        <v>12</v>
      </c>
      <c r="M973" s="67">
        <f>E973*G973*I973*K973</f>
        <v>13.068</v>
      </c>
      <c r="N973" s="106" t="s">
        <v>25</v>
      </c>
      <c r="O973" s="10"/>
      <c r="P973" s="105"/>
      <c r="Q973" s="6"/>
    </row>
    <row r="974" spans="1:17" s="7" customFormat="1" ht="66" customHeight="1" x14ac:dyDescent="0.25">
      <c r="A974" s="8"/>
      <c r="B974" s="104"/>
      <c r="C974" s="53" t="s">
        <v>109</v>
      </c>
      <c r="D974" s="54" t="s">
        <v>12</v>
      </c>
      <c r="E974" s="55">
        <f>2.95+1</f>
        <v>3.95</v>
      </c>
      <c r="F974" s="55" t="s">
        <v>24</v>
      </c>
      <c r="G974" s="67">
        <v>1.8</v>
      </c>
      <c r="H974" s="67" t="s">
        <v>24</v>
      </c>
      <c r="I974" s="67">
        <v>1</v>
      </c>
      <c r="J974" s="67" t="s">
        <v>24</v>
      </c>
      <c r="K974" s="55">
        <v>2</v>
      </c>
      <c r="L974" s="54" t="s">
        <v>12</v>
      </c>
      <c r="M974" s="67">
        <f>E974*G974*I974*K974</f>
        <v>14.22</v>
      </c>
      <c r="N974" s="106" t="s">
        <v>25</v>
      </c>
      <c r="O974" s="10"/>
      <c r="P974" s="105"/>
      <c r="Q974" s="6"/>
    </row>
    <row r="975" spans="1:17" s="7" customFormat="1" ht="66" customHeight="1" x14ac:dyDescent="0.25">
      <c r="A975" s="8"/>
      <c r="B975" s="104"/>
      <c r="C975" s="53" t="s">
        <v>110</v>
      </c>
      <c r="D975" s="54" t="s">
        <v>12</v>
      </c>
      <c r="E975" s="55">
        <f>2.95+1</f>
        <v>3.95</v>
      </c>
      <c r="F975" s="55" t="s">
        <v>24</v>
      </c>
      <c r="G975" s="67">
        <v>1.8</v>
      </c>
      <c r="H975" s="67" t="s">
        <v>24</v>
      </c>
      <c r="I975" s="67">
        <v>1</v>
      </c>
      <c r="J975" s="67" t="s">
        <v>24</v>
      </c>
      <c r="K975" s="55">
        <v>2</v>
      </c>
      <c r="L975" s="54" t="s">
        <v>12</v>
      </c>
      <c r="M975" s="67">
        <f>E975*G975*I975*K975</f>
        <v>14.22</v>
      </c>
      <c r="N975" s="106" t="s">
        <v>25</v>
      </c>
      <c r="O975" s="10"/>
      <c r="P975" s="105"/>
      <c r="Q975" s="6"/>
    </row>
    <row r="976" spans="1:17" s="7" customFormat="1" ht="66" customHeight="1" x14ac:dyDescent="0.25">
      <c r="A976" s="8"/>
      <c r="B976" s="104"/>
      <c r="C976" s="22"/>
      <c r="D976" s="24"/>
      <c r="E976" s="48"/>
      <c r="F976" s="48"/>
      <c r="G976" s="56"/>
      <c r="H976" s="56"/>
      <c r="I976" s="56"/>
      <c r="J976" s="56"/>
      <c r="K976" s="25"/>
      <c r="L976" s="32"/>
      <c r="M976" s="49"/>
      <c r="N976" s="10"/>
      <c r="O976" s="10"/>
      <c r="P976" s="105"/>
      <c r="Q976" s="6"/>
    </row>
    <row r="977" spans="1:17" s="7" customFormat="1" ht="66" customHeight="1" x14ac:dyDescent="0.25">
      <c r="A977" s="8"/>
      <c r="B977" s="104"/>
      <c r="C977" s="22" t="s">
        <v>310</v>
      </c>
      <c r="D977" s="24"/>
      <c r="E977" s="48" t="s">
        <v>57</v>
      </c>
      <c r="F977" s="48"/>
      <c r="G977" s="56"/>
      <c r="H977" s="56"/>
      <c r="I977" s="56"/>
      <c r="J977" s="56"/>
      <c r="K977" s="25"/>
      <c r="L977" s="32"/>
      <c r="M977" s="49"/>
      <c r="N977" s="10"/>
      <c r="O977" s="10"/>
      <c r="P977" s="105"/>
      <c r="Q977" s="6"/>
    </row>
    <row r="978" spans="1:17" s="7" customFormat="1" ht="66" customHeight="1" x14ac:dyDescent="0.25">
      <c r="A978" s="8"/>
      <c r="B978" s="104"/>
      <c r="C978" s="22"/>
      <c r="D978" s="24"/>
      <c r="E978" s="48"/>
      <c r="F978" s="48"/>
      <c r="G978" s="56"/>
      <c r="H978" s="56"/>
      <c r="I978" s="56"/>
      <c r="J978" s="56"/>
      <c r="K978" s="25"/>
      <c r="L978" s="32"/>
      <c r="M978" s="49"/>
      <c r="N978" s="10"/>
      <c r="O978" s="10"/>
      <c r="P978" s="105"/>
      <c r="Q978" s="6"/>
    </row>
    <row r="979" spans="1:17" s="7" customFormat="1" ht="66" customHeight="1" x14ac:dyDescent="0.25">
      <c r="A979" s="8"/>
      <c r="B979" s="104"/>
      <c r="C979" s="22" t="s">
        <v>123</v>
      </c>
      <c r="D979" s="24" t="s">
        <v>12</v>
      </c>
      <c r="E979" s="48">
        <v>5.26</v>
      </c>
      <c r="F979" s="48" t="s">
        <v>25</v>
      </c>
      <c r="G979" s="56"/>
      <c r="H979" s="56"/>
      <c r="I979" s="56"/>
      <c r="J979" s="56"/>
      <c r="K979" s="25"/>
      <c r="L979" s="32"/>
      <c r="M979" s="49"/>
      <c r="N979" s="10"/>
      <c r="O979" s="10"/>
      <c r="P979" s="105"/>
      <c r="Q979" s="6"/>
    </row>
    <row r="980" spans="1:17" s="7" customFormat="1" ht="66" customHeight="1" x14ac:dyDescent="0.25">
      <c r="A980" s="8"/>
      <c r="B980" s="104"/>
      <c r="C980" s="22" t="s">
        <v>106</v>
      </c>
      <c r="D980" s="24" t="s">
        <v>12</v>
      </c>
      <c r="E980" s="48">
        <v>7.5</v>
      </c>
      <c r="F980" s="48" t="s">
        <v>25</v>
      </c>
      <c r="G980" s="56"/>
      <c r="H980" s="56"/>
      <c r="I980" s="56"/>
      <c r="J980" s="56"/>
      <c r="K980" s="25"/>
      <c r="L980" s="32"/>
      <c r="M980" s="49"/>
      <c r="N980" s="10"/>
      <c r="O980" s="10"/>
      <c r="P980" s="105"/>
      <c r="Q980" s="6"/>
    </row>
    <row r="981" spans="1:17" s="7" customFormat="1" ht="66" customHeight="1" x14ac:dyDescent="0.25">
      <c r="A981" s="8"/>
      <c r="B981" s="104"/>
      <c r="C981" s="22" t="s">
        <v>107</v>
      </c>
      <c r="D981" s="24" t="s">
        <v>12</v>
      </c>
      <c r="E981" s="48">
        <v>7.41</v>
      </c>
      <c r="F981" s="48" t="s">
        <v>25</v>
      </c>
      <c r="G981" s="56"/>
      <c r="H981" s="56"/>
      <c r="I981" s="56"/>
      <c r="J981" s="56"/>
      <c r="K981" s="25"/>
      <c r="L981" s="32"/>
      <c r="M981" s="49"/>
      <c r="N981" s="10"/>
      <c r="O981" s="10"/>
      <c r="P981" s="105"/>
      <c r="Q981" s="6"/>
    </row>
    <row r="982" spans="1:17" s="7" customFormat="1" ht="66" customHeight="1" x14ac:dyDescent="0.25">
      <c r="A982" s="8"/>
      <c r="B982" s="104"/>
      <c r="C982" s="22" t="s">
        <v>125</v>
      </c>
      <c r="D982" s="24" t="s">
        <v>12</v>
      </c>
      <c r="E982" s="48">
        <v>33.700000000000003</v>
      </c>
      <c r="F982" s="48" t="s">
        <v>25</v>
      </c>
      <c r="G982" s="56"/>
      <c r="H982" s="56"/>
      <c r="I982" s="56"/>
      <c r="J982" s="56"/>
      <c r="K982" s="25"/>
      <c r="L982" s="32"/>
      <c r="M982" s="49"/>
      <c r="N982" s="10"/>
      <c r="O982" s="10"/>
      <c r="P982" s="105"/>
      <c r="Q982" s="6"/>
    </row>
    <row r="983" spans="1:17" s="7" customFormat="1" ht="66" customHeight="1" x14ac:dyDescent="0.25">
      <c r="A983" s="8"/>
      <c r="B983" s="104"/>
      <c r="C983" s="22"/>
      <c r="D983" s="24"/>
      <c r="E983" s="48"/>
      <c r="F983" s="48"/>
      <c r="G983" s="56"/>
      <c r="H983" s="56"/>
      <c r="I983" s="56"/>
      <c r="J983" s="56"/>
      <c r="K983" s="25"/>
      <c r="L983" s="32"/>
      <c r="M983" s="49"/>
      <c r="N983" s="10"/>
      <c r="O983" s="10"/>
      <c r="P983" s="105"/>
      <c r="Q983" s="6"/>
    </row>
    <row r="984" spans="1:17" s="7" customFormat="1" ht="66" customHeight="1" x14ac:dyDescent="0.25">
      <c r="A984" s="8"/>
      <c r="B984" s="104"/>
      <c r="C984" s="22"/>
      <c r="D984" s="24"/>
      <c r="E984" s="48"/>
      <c r="F984" s="48"/>
      <c r="G984" s="56"/>
      <c r="H984" s="56"/>
      <c r="I984" s="56"/>
      <c r="J984" s="56"/>
      <c r="K984" s="25" t="s">
        <v>48</v>
      </c>
      <c r="L984" s="32" t="s">
        <v>12</v>
      </c>
      <c r="M984" s="49">
        <f>SUM(M931:M975,E979:E982)</f>
        <v>5070.4179999999988</v>
      </c>
      <c r="N984" s="10" t="s">
        <v>25</v>
      </c>
      <c r="O984" s="10"/>
      <c r="P984" s="105"/>
      <c r="Q984" s="6"/>
    </row>
    <row r="985" spans="1:17" s="7" customFormat="1" ht="66" customHeight="1" x14ac:dyDescent="0.25">
      <c r="A985" s="8"/>
      <c r="B985" s="104"/>
      <c r="C985" s="22"/>
      <c r="D985" s="24"/>
      <c r="E985" s="48"/>
      <c r="F985" s="48"/>
      <c r="G985" s="56"/>
      <c r="H985" s="56"/>
      <c r="I985" s="56"/>
      <c r="J985" s="56"/>
      <c r="K985" s="25"/>
      <c r="L985" s="32"/>
      <c r="M985" s="49"/>
      <c r="N985" s="10"/>
      <c r="O985" s="10"/>
      <c r="P985" s="105"/>
      <c r="Q985" s="6"/>
    </row>
    <row r="986" spans="1:17" s="7" customFormat="1" ht="66" customHeight="1" x14ac:dyDescent="0.25">
      <c r="A986" s="8"/>
      <c r="B986" s="104"/>
      <c r="C986" s="22" t="s">
        <v>311</v>
      </c>
      <c r="D986" s="24"/>
      <c r="E986" s="48" t="s">
        <v>22</v>
      </c>
      <c r="F986" s="48"/>
      <c r="G986" s="56" t="s">
        <v>23</v>
      </c>
      <c r="H986" s="56"/>
      <c r="I986" s="56" t="s">
        <v>75</v>
      </c>
      <c r="J986" s="56"/>
      <c r="K986" s="25" t="s">
        <v>300</v>
      </c>
      <c r="L986" s="32"/>
      <c r="M986" s="49"/>
      <c r="N986" s="10"/>
      <c r="O986" s="10"/>
      <c r="P986" s="105"/>
      <c r="Q986" s="6"/>
    </row>
    <row r="987" spans="1:17" s="7" customFormat="1" ht="66" customHeight="1" x14ac:dyDescent="0.25">
      <c r="A987" s="8"/>
      <c r="B987" s="104"/>
      <c r="C987" s="22"/>
      <c r="D987" s="24"/>
      <c r="E987" s="48"/>
      <c r="F987" s="48"/>
      <c r="G987" s="56"/>
      <c r="H987" s="56"/>
      <c r="I987" s="56"/>
      <c r="J987" s="56"/>
      <c r="K987" s="25"/>
      <c r="L987" s="32"/>
      <c r="M987" s="49"/>
      <c r="N987" s="10"/>
      <c r="O987" s="10"/>
      <c r="P987" s="105"/>
      <c r="Q987" s="6"/>
    </row>
    <row r="988" spans="1:17" s="7" customFormat="1" ht="66" customHeight="1" x14ac:dyDescent="0.25">
      <c r="A988" s="8"/>
      <c r="B988" s="104"/>
      <c r="C988" s="22" t="s">
        <v>312</v>
      </c>
      <c r="D988" s="24"/>
      <c r="E988" s="48"/>
      <c r="F988" s="48"/>
      <c r="G988" s="56"/>
      <c r="H988" s="56"/>
      <c r="I988" s="56"/>
      <c r="J988" s="56"/>
      <c r="K988" s="25"/>
      <c r="L988" s="32"/>
      <c r="M988" s="49"/>
      <c r="N988" s="10"/>
      <c r="O988" s="10"/>
      <c r="P988" s="105"/>
      <c r="Q988" s="6"/>
    </row>
    <row r="989" spans="1:17" s="7" customFormat="1" ht="66" customHeight="1" x14ac:dyDescent="0.25">
      <c r="A989" s="8"/>
      <c r="B989" s="104"/>
      <c r="C989" s="22"/>
      <c r="D989" s="24"/>
      <c r="E989" s="48"/>
      <c r="F989" s="48"/>
      <c r="G989" s="56"/>
      <c r="H989" s="56"/>
      <c r="I989" s="56"/>
      <c r="J989" s="56"/>
      <c r="K989" s="25"/>
      <c r="L989" s="32"/>
      <c r="M989" s="49"/>
      <c r="N989" s="10"/>
      <c r="O989" s="10"/>
      <c r="P989" s="105"/>
      <c r="Q989" s="6"/>
    </row>
    <row r="990" spans="1:17" s="7" customFormat="1" ht="66" customHeight="1" x14ac:dyDescent="0.25">
      <c r="A990" s="8"/>
      <c r="B990" s="104"/>
      <c r="C990" s="22" t="s">
        <v>313</v>
      </c>
      <c r="D990" s="24" t="s">
        <v>12</v>
      </c>
      <c r="E990" s="48">
        <v>1.4</v>
      </c>
      <c r="F990" s="48" t="s">
        <v>24</v>
      </c>
      <c r="G990" s="56">
        <v>3.9</v>
      </c>
      <c r="H990" s="56" t="s">
        <v>24</v>
      </c>
      <c r="I990" s="56">
        <v>2</v>
      </c>
      <c r="J990" s="56" t="s">
        <v>24</v>
      </c>
      <c r="K990" s="25">
        <v>2</v>
      </c>
      <c r="L990" s="32" t="s">
        <v>12</v>
      </c>
      <c r="M990" s="49">
        <f>E990*G990*I990*K990</f>
        <v>21.84</v>
      </c>
      <c r="N990" s="10" t="s">
        <v>25</v>
      </c>
      <c r="O990" s="10"/>
      <c r="P990" s="105"/>
      <c r="Q990" s="6"/>
    </row>
    <row r="991" spans="1:17" s="7" customFormat="1" ht="66" customHeight="1" x14ac:dyDescent="0.25">
      <c r="A991" s="8"/>
      <c r="B991" s="104"/>
      <c r="C991" s="22" t="s">
        <v>184</v>
      </c>
      <c r="D991" s="24" t="s">
        <v>12</v>
      </c>
      <c r="E991" s="48">
        <v>1.1499999999999999</v>
      </c>
      <c r="F991" s="48" t="s">
        <v>24</v>
      </c>
      <c r="G991" s="56">
        <v>3.35</v>
      </c>
      <c r="H991" s="56" t="s">
        <v>24</v>
      </c>
      <c r="I991" s="56">
        <v>1</v>
      </c>
      <c r="J991" s="56" t="s">
        <v>24</v>
      </c>
      <c r="K991" s="25">
        <v>2</v>
      </c>
      <c r="L991" s="32" t="s">
        <v>12</v>
      </c>
      <c r="M991" s="49">
        <f t="shared" ref="M991:M1026" si="17">E991*G991*I991*K991</f>
        <v>7.7049999999999992</v>
      </c>
      <c r="N991" s="10" t="s">
        <v>25</v>
      </c>
      <c r="O991" s="10"/>
      <c r="P991" s="105"/>
      <c r="Q991" s="6"/>
    </row>
    <row r="992" spans="1:17" s="7" customFormat="1" ht="66" customHeight="1" x14ac:dyDescent="0.25">
      <c r="A992" s="8"/>
      <c r="B992" s="104"/>
      <c r="C992" s="22" t="s">
        <v>185</v>
      </c>
      <c r="D992" s="24" t="s">
        <v>12</v>
      </c>
      <c r="E992" s="48">
        <v>1.2</v>
      </c>
      <c r="F992" s="48" t="s">
        <v>24</v>
      </c>
      <c r="G992" s="56">
        <v>3.5</v>
      </c>
      <c r="H992" s="56" t="s">
        <v>24</v>
      </c>
      <c r="I992" s="56">
        <v>1</v>
      </c>
      <c r="J992" s="56" t="s">
        <v>24</v>
      </c>
      <c r="K992" s="25">
        <v>2</v>
      </c>
      <c r="L992" s="32" t="s">
        <v>12</v>
      </c>
      <c r="M992" s="49">
        <f t="shared" si="17"/>
        <v>8.4</v>
      </c>
      <c r="N992" s="10" t="s">
        <v>25</v>
      </c>
      <c r="O992" s="10"/>
      <c r="P992" s="105"/>
      <c r="Q992" s="6"/>
    </row>
    <row r="993" spans="1:17" s="7" customFormat="1" ht="66" customHeight="1" x14ac:dyDescent="0.25">
      <c r="A993" s="8"/>
      <c r="B993" s="104"/>
      <c r="C993" s="22" t="s">
        <v>186</v>
      </c>
      <c r="D993" s="24" t="s">
        <v>12</v>
      </c>
      <c r="E993" s="48">
        <v>1.1499999999999999</v>
      </c>
      <c r="F993" s="48" t="s">
        <v>24</v>
      </c>
      <c r="G993" s="56">
        <v>3.35</v>
      </c>
      <c r="H993" s="56" t="s">
        <v>24</v>
      </c>
      <c r="I993" s="56">
        <v>1</v>
      </c>
      <c r="J993" s="56" t="s">
        <v>24</v>
      </c>
      <c r="K993" s="25">
        <v>2</v>
      </c>
      <c r="L993" s="32" t="s">
        <v>12</v>
      </c>
      <c r="M993" s="49">
        <f t="shared" si="17"/>
        <v>7.7049999999999992</v>
      </c>
      <c r="N993" s="10" t="s">
        <v>25</v>
      </c>
      <c r="O993" s="10"/>
      <c r="P993" s="105"/>
      <c r="Q993" s="6"/>
    </row>
    <row r="994" spans="1:17" s="7" customFormat="1" ht="66" customHeight="1" x14ac:dyDescent="0.25">
      <c r="A994" s="8"/>
      <c r="B994" s="104"/>
      <c r="C994" s="22" t="s">
        <v>314</v>
      </c>
      <c r="D994" s="24" t="s">
        <v>12</v>
      </c>
      <c r="E994" s="48">
        <v>1.1499999999999999</v>
      </c>
      <c r="F994" s="48" t="s">
        <v>24</v>
      </c>
      <c r="G994" s="56">
        <v>3.35</v>
      </c>
      <c r="H994" s="56" t="s">
        <v>24</v>
      </c>
      <c r="I994" s="56">
        <v>1</v>
      </c>
      <c r="J994" s="56" t="s">
        <v>24</v>
      </c>
      <c r="K994" s="25">
        <v>2</v>
      </c>
      <c r="L994" s="32" t="s">
        <v>12</v>
      </c>
      <c r="M994" s="49">
        <f t="shared" si="17"/>
        <v>7.7049999999999992</v>
      </c>
      <c r="N994" s="10" t="s">
        <v>25</v>
      </c>
      <c r="O994" s="10"/>
      <c r="P994" s="105"/>
      <c r="Q994" s="6"/>
    </row>
    <row r="995" spans="1:17" s="7" customFormat="1" ht="66" customHeight="1" x14ac:dyDescent="0.25">
      <c r="A995" s="8"/>
      <c r="B995" s="104"/>
      <c r="C995" s="22" t="s">
        <v>315</v>
      </c>
      <c r="D995" s="24" t="s">
        <v>12</v>
      </c>
      <c r="E995" s="48">
        <v>0.8</v>
      </c>
      <c r="F995" s="48" t="s">
        <v>24</v>
      </c>
      <c r="G995" s="56">
        <v>2.1</v>
      </c>
      <c r="H995" s="56" t="s">
        <v>24</v>
      </c>
      <c r="I995" s="56">
        <v>1</v>
      </c>
      <c r="J995" s="56" t="s">
        <v>24</v>
      </c>
      <c r="K995" s="25">
        <v>2</v>
      </c>
      <c r="L995" s="32" t="s">
        <v>12</v>
      </c>
      <c r="M995" s="49">
        <f t="shared" si="17"/>
        <v>3.3600000000000003</v>
      </c>
      <c r="N995" s="10" t="s">
        <v>25</v>
      </c>
      <c r="O995" s="10"/>
      <c r="P995" s="105"/>
      <c r="Q995" s="6"/>
    </row>
    <row r="996" spans="1:17" s="7" customFormat="1" ht="66" customHeight="1" x14ac:dyDescent="0.25">
      <c r="A996" s="8"/>
      <c r="B996" s="104"/>
      <c r="C996" s="22" t="s">
        <v>187</v>
      </c>
      <c r="D996" s="24" t="s">
        <v>12</v>
      </c>
      <c r="E996" s="48">
        <v>1.1499999999999999</v>
      </c>
      <c r="F996" s="48" t="s">
        <v>24</v>
      </c>
      <c r="G996" s="56">
        <v>3.35</v>
      </c>
      <c r="H996" s="56" t="s">
        <v>24</v>
      </c>
      <c r="I996" s="56">
        <v>1</v>
      </c>
      <c r="J996" s="56" t="s">
        <v>24</v>
      </c>
      <c r="K996" s="25">
        <v>2</v>
      </c>
      <c r="L996" s="32" t="s">
        <v>12</v>
      </c>
      <c r="M996" s="49">
        <f t="shared" si="17"/>
        <v>7.7049999999999992</v>
      </c>
      <c r="N996" s="10" t="s">
        <v>25</v>
      </c>
      <c r="O996" s="10"/>
      <c r="P996" s="105"/>
      <c r="Q996" s="6"/>
    </row>
    <row r="997" spans="1:17" s="7" customFormat="1" ht="66" customHeight="1" x14ac:dyDescent="0.25">
      <c r="A997" s="8"/>
      <c r="B997" s="104"/>
      <c r="C997" s="22" t="s">
        <v>188</v>
      </c>
      <c r="D997" s="24" t="s">
        <v>12</v>
      </c>
      <c r="E997" s="48">
        <v>1.2</v>
      </c>
      <c r="F997" s="48" t="s">
        <v>24</v>
      </c>
      <c r="G997" s="56">
        <v>3.5</v>
      </c>
      <c r="H997" s="56" t="s">
        <v>24</v>
      </c>
      <c r="I997" s="56">
        <v>1</v>
      </c>
      <c r="J997" s="56" t="s">
        <v>24</v>
      </c>
      <c r="K997" s="25">
        <v>2</v>
      </c>
      <c r="L997" s="32" t="s">
        <v>12</v>
      </c>
      <c r="M997" s="49">
        <f t="shared" si="17"/>
        <v>8.4</v>
      </c>
      <c r="N997" s="10" t="s">
        <v>25</v>
      </c>
      <c r="O997" s="10"/>
      <c r="P997" s="105"/>
      <c r="Q997" s="6"/>
    </row>
    <row r="998" spans="1:17" s="7" customFormat="1" ht="66" customHeight="1" x14ac:dyDescent="0.25">
      <c r="A998" s="8"/>
      <c r="B998" s="104"/>
      <c r="C998" s="22" t="s">
        <v>189</v>
      </c>
      <c r="D998" s="24" t="s">
        <v>12</v>
      </c>
      <c r="E998" s="48">
        <v>1.2</v>
      </c>
      <c r="F998" s="48" t="s">
        <v>24</v>
      </c>
      <c r="G998" s="56">
        <v>3.5</v>
      </c>
      <c r="H998" s="56" t="s">
        <v>24</v>
      </c>
      <c r="I998" s="56">
        <v>1</v>
      </c>
      <c r="J998" s="56" t="s">
        <v>24</v>
      </c>
      <c r="K998" s="25">
        <v>2</v>
      </c>
      <c r="L998" s="32" t="s">
        <v>12</v>
      </c>
      <c r="M998" s="49">
        <f t="shared" si="17"/>
        <v>8.4</v>
      </c>
      <c r="N998" s="10" t="s">
        <v>25</v>
      </c>
      <c r="O998" s="10"/>
      <c r="P998" s="105"/>
      <c r="Q998" s="6"/>
    </row>
    <row r="999" spans="1:17" s="7" customFormat="1" ht="66" customHeight="1" x14ac:dyDescent="0.25">
      <c r="A999" s="8"/>
      <c r="B999" s="104"/>
      <c r="C999" s="22" t="s">
        <v>190</v>
      </c>
      <c r="D999" s="24" t="s">
        <v>12</v>
      </c>
      <c r="E999" s="48">
        <v>1.2</v>
      </c>
      <c r="F999" s="48" t="s">
        <v>24</v>
      </c>
      <c r="G999" s="56">
        <v>3.5</v>
      </c>
      <c r="H999" s="56" t="s">
        <v>24</v>
      </c>
      <c r="I999" s="56">
        <v>1</v>
      </c>
      <c r="J999" s="56" t="s">
        <v>24</v>
      </c>
      <c r="K999" s="25">
        <v>2</v>
      </c>
      <c r="L999" s="32" t="s">
        <v>12</v>
      </c>
      <c r="M999" s="49">
        <f t="shared" si="17"/>
        <v>8.4</v>
      </c>
      <c r="N999" s="10" t="s">
        <v>25</v>
      </c>
      <c r="O999" s="10"/>
      <c r="P999" s="105"/>
      <c r="Q999" s="6"/>
    </row>
    <row r="1000" spans="1:17" s="7" customFormat="1" ht="66" customHeight="1" x14ac:dyDescent="0.25">
      <c r="A1000" s="8"/>
      <c r="B1000" s="104"/>
      <c r="C1000" s="22" t="s">
        <v>316</v>
      </c>
      <c r="D1000" s="24" t="s">
        <v>12</v>
      </c>
      <c r="E1000" s="48">
        <v>0.6</v>
      </c>
      <c r="F1000" s="48" t="s">
        <v>24</v>
      </c>
      <c r="G1000" s="56">
        <v>2.1</v>
      </c>
      <c r="H1000" s="56" t="s">
        <v>24</v>
      </c>
      <c r="I1000" s="56">
        <v>1</v>
      </c>
      <c r="J1000" s="56" t="s">
        <v>24</v>
      </c>
      <c r="K1000" s="25">
        <v>2</v>
      </c>
      <c r="L1000" s="32" t="s">
        <v>12</v>
      </c>
      <c r="M1000" s="49">
        <f t="shared" si="17"/>
        <v>2.52</v>
      </c>
      <c r="N1000" s="10" t="s">
        <v>25</v>
      </c>
      <c r="O1000" s="10"/>
      <c r="P1000" s="105"/>
      <c r="Q1000" s="6"/>
    </row>
    <row r="1001" spans="1:17" s="7" customFormat="1" ht="66" customHeight="1" x14ac:dyDescent="0.25">
      <c r="A1001" s="8"/>
      <c r="B1001" s="104"/>
      <c r="C1001" s="22" t="s">
        <v>203</v>
      </c>
      <c r="D1001" s="24" t="s">
        <v>12</v>
      </c>
      <c r="E1001" s="48">
        <v>1.2</v>
      </c>
      <c r="F1001" s="48" t="s">
        <v>24</v>
      </c>
      <c r="G1001" s="56">
        <v>3.5</v>
      </c>
      <c r="H1001" s="56" t="s">
        <v>24</v>
      </c>
      <c r="I1001" s="56">
        <v>1</v>
      </c>
      <c r="J1001" s="56" t="s">
        <v>24</v>
      </c>
      <c r="K1001" s="25">
        <v>2</v>
      </c>
      <c r="L1001" s="32" t="s">
        <v>12</v>
      </c>
      <c r="M1001" s="49">
        <f t="shared" si="17"/>
        <v>8.4</v>
      </c>
      <c r="N1001" s="10" t="s">
        <v>25</v>
      </c>
      <c r="O1001" s="10"/>
      <c r="P1001" s="105"/>
      <c r="Q1001" s="6"/>
    </row>
    <row r="1002" spans="1:17" s="7" customFormat="1" ht="66" customHeight="1" x14ac:dyDescent="0.25">
      <c r="A1002" s="8"/>
      <c r="B1002" s="104"/>
      <c r="C1002" s="22" t="s">
        <v>191</v>
      </c>
      <c r="D1002" s="24" t="s">
        <v>12</v>
      </c>
      <c r="E1002" s="48">
        <v>1.2</v>
      </c>
      <c r="F1002" s="48" t="s">
        <v>24</v>
      </c>
      <c r="G1002" s="56">
        <v>3.5</v>
      </c>
      <c r="H1002" s="56" t="s">
        <v>24</v>
      </c>
      <c r="I1002" s="56">
        <v>1</v>
      </c>
      <c r="J1002" s="56" t="s">
        <v>24</v>
      </c>
      <c r="K1002" s="25">
        <v>2</v>
      </c>
      <c r="L1002" s="32" t="s">
        <v>12</v>
      </c>
      <c r="M1002" s="49">
        <f t="shared" si="17"/>
        <v>8.4</v>
      </c>
      <c r="N1002" s="10" t="s">
        <v>25</v>
      </c>
      <c r="O1002" s="10"/>
      <c r="P1002" s="105"/>
      <c r="Q1002" s="6"/>
    </row>
    <row r="1003" spans="1:17" s="7" customFormat="1" ht="66" customHeight="1" x14ac:dyDescent="0.25">
      <c r="A1003" s="8"/>
      <c r="B1003" s="104"/>
      <c r="C1003" s="22" t="s">
        <v>113</v>
      </c>
      <c r="D1003" s="24" t="s">
        <v>12</v>
      </c>
      <c r="E1003" s="48">
        <v>1.2</v>
      </c>
      <c r="F1003" s="48" t="s">
        <v>24</v>
      </c>
      <c r="G1003" s="56">
        <v>3.5</v>
      </c>
      <c r="H1003" s="56" t="s">
        <v>24</v>
      </c>
      <c r="I1003" s="56">
        <v>1</v>
      </c>
      <c r="J1003" s="56" t="s">
        <v>24</v>
      </c>
      <c r="K1003" s="25">
        <v>2</v>
      </c>
      <c r="L1003" s="32" t="s">
        <v>12</v>
      </c>
      <c r="M1003" s="49">
        <f t="shared" si="17"/>
        <v>8.4</v>
      </c>
      <c r="N1003" s="10" t="s">
        <v>25</v>
      </c>
      <c r="O1003" s="10"/>
      <c r="P1003" s="105"/>
      <c r="Q1003" s="6"/>
    </row>
    <row r="1004" spans="1:17" s="7" customFormat="1" ht="66" customHeight="1" x14ac:dyDescent="0.25">
      <c r="A1004" s="8"/>
      <c r="B1004" s="104"/>
      <c r="C1004" s="22" t="s">
        <v>317</v>
      </c>
      <c r="D1004" s="24" t="s">
        <v>12</v>
      </c>
      <c r="E1004" s="48">
        <v>0.7</v>
      </c>
      <c r="F1004" s="48" t="s">
        <v>24</v>
      </c>
      <c r="G1004" s="56">
        <v>1.8</v>
      </c>
      <c r="H1004" s="56" t="s">
        <v>24</v>
      </c>
      <c r="I1004" s="56">
        <v>2</v>
      </c>
      <c r="J1004" s="56" t="s">
        <v>24</v>
      </c>
      <c r="K1004" s="25">
        <v>2</v>
      </c>
      <c r="L1004" s="32" t="s">
        <v>12</v>
      </c>
      <c r="M1004" s="49">
        <f t="shared" si="17"/>
        <v>5.04</v>
      </c>
      <c r="N1004" s="10" t="s">
        <v>25</v>
      </c>
      <c r="O1004" s="10"/>
      <c r="P1004" s="105"/>
      <c r="Q1004" s="6"/>
    </row>
    <row r="1005" spans="1:17" s="7" customFormat="1" ht="66" customHeight="1" x14ac:dyDescent="0.25">
      <c r="A1005" s="8"/>
      <c r="B1005" s="104"/>
      <c r="C1005" s="22" t="s">
        <v>318</v>
      </c>
      <c r="D1005" s="24" t="s">
        <v>12</v>
      </c>
      <c r="E1005" s="48">
        <v>0.7</v>
      </c>
      <c r="F1005" s="48" t="s">
        <v>24</v>
      </c>
      <c r="G1005" s="56">
        <v>1.8</v>
      </c>
      <c r="H1005" s="56" t="s">
        <v>24</v>
      </c>
      <c r="I1005" s="56">
        <v>2</v>
      </c>
      <c r="J1005" s="56" t="s">
        <v>24</v>
      </c>
      <c r="K1005" s="25">
        <v>2</v>
      </c>
      <c r="L1005" s="32" t="s">
        <v>12</v>
      </c>
      <c r="M1005" s="49">
        <f t="shared" si="17"/>
        <v>5.04</v>
      </c>
      <c r="N1005" s="10" t="s">
        <v>25</v>
      </c>
      <c r="O1005" s="10"/>
      <c r="P1005" s="105"/>
      <c r="Q1005" s="6"/>
    </row>
    <row r="1006" spans="1:17" s="7" customFormat="1" ht="66" customHeight="1" x14ac:dyDescent="0.25">
      <c r="A1006" s="8"/>
      <c r="B1006" s="104"/>
      <c r="C1006" s="22" t="s">
        <v>114</v>
      </c>
      <c r="D1006" s="24" t="s">
        <v>12</v>
      </c>
      <c r="E1006" s="48">
        <v>1.2</v>
      </c>
      <c r="F1006" s="48" t="s">
        <v>24</v>
      </c>
      <c r="G1006" s="56">
        <v>3.5</v>
      </c>
      <c r="H1006" s="56" t="s">
        <v>24</v>
      </c>
      <c r="I1006" s="56">
        <v>1</v>
      </c>
      <c r="J1006" s="56" t="s">
        <v>24</v>
      </c>
      <c r="K1006" s="25">
        <v>2</v>
      </c>
      <c r="L1006" s="32" t="s">
        <v>12</v>
      </c>
      <c r="M1006" s="49">
        <f t="shared" si="17"/>
        <v>8.4</v>
      </c>
      <c r="N1006" s="10" t="s">
        <v>25</v>
      </c>
      <c r="O1006" s="10"/>
      <c r="P1006" s="105"/>
      <c r="Q1006" s="6"/>
    </row>
    <row r="1007" spans="1:17" s="7" customFormat="1" ht="66" customHeight="1" x14ac:dyDescent="0.25">
      <c r="A1007" s="8"/>
      <c r="B1007" s="104"/>
      <c r="C1007" s="22" t="s">
        <v>115</v>
      </c>
      <c r="D1007" s="24" t="s">
        <v>12</v>
      </c>
      <c r="E1007" s="48">
        <v>1.2</v>
      </c>
      <c r="F1007" s="48" t="s">
        <v>24</v>
      </c>
      <c r="G1007" s="56">
        <v>3.5</v>
      </c>
      <c r="H1007" s="56" t="s">
        <v>24</v>
      </c>
      <c r="I1007" s="56">
        <v>1</v>
      </c>
      <c r="J1007" s="56" t="s">
        <v>24</v>
      </c>
      <c r="K1007" s="25">
        <v>2</v>
      </c>
      <c r="L1007" s="32" t="s">
        <v>12</v>
      </c>
      <c r="M1007" s="49">
        <f t="shared" si="17"/>
        <v>8.4</v>
      </c>
      <c r="N1007" s="10" t="s">
        <v>25</v>
      </c>
      <c r="O1007" s="10"/>
      <c r="P1007" s="105"/>
      <c r="Q1007" s="6"/>
    </row>
    <row r="1008" spans="1:17" s="7" customFormat="1" ht="66" customHeight="1" x14ac:dyDescent="0.25">
      <c r="A1008" s="8"/>
      <c r="B1008" s="104"/>
      <c r="C1008" s="22" t="s">
        <v>204</v>
      </c>
      <c r="D1008" s="24" t="s">
        <v>12</v>
      </c>
      <c r="E1008" s="48">
        <v>1.2</v>
      </c>
      <c r="F1008" s="48" t="s">
        <v>24</v>
      </c>
      <c r="G1008" s="56">
        <v>3.5</v>
      </c>
      <c r="H1008" s="56" t="s">
        <v>24</v>
      </c>
      <c r="I1008" s="56">
        <v>1</v>
      </c>
      <c r="J1008" s="56" t="s">
        <v>24</v>
      </c>
      <c r="K1008" s="25">
        <v>2</v>
      </c>
      <c r="L1008" s="32" t="s">
        <v>12</v>
      </c>
      <c r="M1008" s="49">
        <f t="shared" si="17"/>
        <v>8.4</v>
      </c>
      <c r="N1008" s="10" t="s">
        <v>25</v>
      </c>
      <c r="O1008" s="10"/>
      <c r="P1008" s="105"/>
      <c r="Q1008" s="6"/>
    </row>
    <row r="1009" spans="1:17" s="7" customFormat="1" ht="66" customHeight="1" x14ac:dyDescent="0.25">
      <c r="A1009" s="8"/>
      <c r="B1009" s="104"/>
      <c r="C1009" s="22" t="s">
        <v>192</v>
      </c>
      <c r="D1009" s="24" t="s">
        <v>12</v>
      </c>
      <c r="E1009" s="48">
        <v>1.2</v>
      </c>
      <c r="F1009" s="48" t="s">
        <v>24</v>
      </c>
      <c r="G1009" s="56">
        <v>3.5</v>
      </c>
      <c r="H1009" s="56" t="s">
        <v>24</v>
      </c>
      <c r="I1009" s="56">
        <v>1</v>
      </c>
      <c r="J1009" s="56" t="s">
        <v>24</v>
      </c>
      <c r="K1009" s="25">
        <v>2</v>
      </c>
      <c r="L1009" s="32" t="s">
        <v>12</v>
      </c>
      <c r="M1009" s="49">
        <f t="shared" si="17"/>
        <v>8.4</v>
      </c>
      <c r="N1009" s="10" t="s">
        <v>25</v>
      </c>
      <c r="O1009" s="10"/>
      <c r="P1009" s="105"/>
      <c r="Q1009" s="6"/>
    </row>
    <row r="1010" spans="1:17" s="7" customFormat="1" ht="66" customHeight="1" x14ac:dyDescent="0.25">
      <c r="A1010" s="8"/>
      <c r="B1010" s="104"/>
      <c r="C1010" s="22" t="s">
        <v>193</v>
      </c>
      <c r="D1010" s="24" t="s">
        <v>12</v>
      </c>
      <c r="E1010" s="48">
        <v>1.2</v>
      </c>
      <c r="F1010" s="48" t="s">
        <v>24</v>
      </c>
      <c r="G1010" s="56">
        <v>3.5</v>
      </c>
      <c r="H1010" s="56" t="s">
        <v>24</v>
      </c>
      <c r="I1010" s="56">
        <v>1</v>
      </c>
      <c r="J1010" s="56" t="s">
        <v>24</v>
      </c>
      <c r="K1010" s="25">
        <v>2</v>
      </c>
      <c r="L1010" s="32" t="s">
        <v>12</v>
      </c>
      <c r="M1010" s="49">
        <f t="shared" si="17"/>
        <v>8.4</v>
      </c>
      <c r="N1010" s="10" t="s">
        <v>25</v>
      </c>
      <c r="O1010" s="10"/>
      <c r="P1010" s="105"/>
      <c r="Q1010" s="6"/>
    </row>
    <row r="1011" spans="1:17" s="7" customFormat="1" ht="66" customHeight="1" x14ac:dyDescent="0.25">
      <c r="A1011" s="8"/>
      <c r="B1011" s="104"/>
      <c r="C1011" s="22" t="s">
        <v>194</v>
      </c>
      <c r="D1011" s="24" t="s">
        <v>12</v>
      </c>
      <c r="E1011" s="48">
        <v>1.2</v>
      </c>
      <c r="F1011" s="48" t="s">
        <v>24</v>
      </c>
      <c r="G1011" s="56">
        <v>3.5</v>
      </c>
      <c r="H1011" s="56" t="s">
        <v>24</v>
      </c>
      <c r="I1011" s="56">
        <v>1</v>
      </c>
      <c r="J1011" s="56" t="s">
        <v>24</v>
      </c>
      <c r="K1011" s="25">
        <v>2</v>
      </c>
      <c r="L1011" s="32" t="s">
        <v>12</v>
      </c>
      <c r="M1011" s="49">
        <f t="shared" si="17"/>
        <v>8.4</v>
      </c>
      <c r="N1011" s="10" t="s">
        <v>25</v>
      </c>
      <c r="O1011" s="10"/>
      <c r="P1011" s="105"/>
      <c r="Q1011" s="6"/>
    </row>
    <row r="1012" spans="1:17" s="7" customFormat="1" ht="66" customHeight="1" x14ac:dyDescent="0.25">
      <c r="A1012" s="8"/>
      <c r="B1012" s="104"/>
      <c r="C1012" s="22" t="s">
        <v>319</v>
      </c>
      <c r="D1012" s="24" t="s">
        <v>12</v>
      </c>
      <c r="E1012" s="48">
        <v>1.1499999999999999</v>
      </c>
      <c r="F1012" s="48" t="s">
        <v>24</v>
      </c>
      <c r="G1012" s="56">
        <v>3.35</v>
      </c>
      <c r="H1012" s="56" t="s">
        <v>24</v>
      </c>
      <c r="I1012" s="56">
        <v>1</v>
      </c>
      <c r="J1012" s="56" t="s">
        <v>24</v>
      </c>
      <c r="K1012" s="25">
        <v>2</v>
      </c>
      <c r="L1012" s="32" t="s">
        <v>12</v>
      </c>
      <c r="M1012" s="49">
        <f t="shared" si="17"/>
        <v>7.7049999999999992</v>
      </c>
      <c r="N1012" s="10" t="s">
        <v>25</v>
      </c>
      <c r="O1012" s="10"/>
      <c r="P1012" s="105"/>
      <c r="Q1012" s="6"/>
    </row>
    <row r="1013" spans="1:17" s="7" customFormat="1" ht="66" customHeight="1" x14ac:dyDescent="0.25">
      <c r="A1013" s="8"/>
      <c r="B1013" s="104"/>
      <c r="C1013" s="22" t="s">
        <v>195</v>
      </c>
      <c r="D1013" s="24" t="s">
        <v>12</v>
      </c>
      <c r="E1013" s="48">
        <v>1.2</v>
      </c>
      <c r="F1013" s="48" t="s">
        <v>24</v>
      </c>
      <c r="G1013" s="56">
        <v>3.5</v>
      </c>
      <c r="H1013" s="56" t="s">
        <v>24</v>
      </c>
      <c r="I1013" s="56">
        <v>1</v>
      </c>
      <c r="J1013" s="56" t="s">
        <v>24</v>
      </c>
      <c r="K1013" s="25">
        <v>2</v>
      </c>
      <c r="L1013" s="32" t="s">
        <v>12</v>
      </c>
      <c r="M1013" s="49">
        <f t="shared" si="17"/>
        <v>8.4</v>
      </c>
      <c r="N1013" s="10" t="s">
        <v>25</v>
      </c>
      <c r="O1013" s="10"/>
      <c r="P1013" s="105"/>
      <c r="Q1013" s="6"/>
    </row>
    <row r="1014" spans="1:17" s="7" customFormat="1" ht="66" customHeight="1" x14ac:dyDescent="0.25">
      <c r="A1014" s="8"/>
      <c r="B1014" s="104"/>
      <c r="C1014" s="22" t="s">
        <v>93</v>
      </c>
      <c r="D1014" s="24" t="s">
        <v>12</v>
      </c>
      <c r="E1014" s="48">
        <v>1.4</v>
      </c>
      <c r="F1014" s="48" t="s">
        <v>24</v>
      </c>
      <c r="G1014" s="56">
        <v>3.4</v>
      </c>
      <c r="H1014" s="56" t="s">
        <v>24</v>
      </c>
      <c r="I1014" s="56">
        <v>1</v>
      </c>
      <c r="J1014" s="56" t="s">
        <v>24</v>
      </c>
      <c r="K1014" s="25">
        <v>1</v>
      </c>
      <c r="L1014" s="32" t="s">
        <v>12</v>
      </c>
      <c r="M1014" s="49">
        <f t="shared" si="17"/>
        <v>4.76</v>
      </c>
      <c r="N1014" s="10" t="s">
        <v>25</v>
      </c>
      <c r="O1014" s="10"/>
      <c r="P1014" s="105"/>
      <c r="Q1014" s="6"/>
    </row>
    <row r="1015" spans="1:17" s="7" customFormat="1" ht="66" customHeight="1" x14ac:dyDescent="0.25">
      <c r="A1015" s="8"/>
      <c r="B1015" s="104"/>
      <c r="C1015" s="22" t="s">
        <v>196</v>
      </c>
      <c r="D1015" s="24" t="s">
        <v>12</v>
      </c>
      <c r="E1015" s="48">
        <v>1.1499999999999999</v>
      </c>
      <c r="F1015" s="48" t="s">
        <v>24</v>
      </c>
      <c r="G1015" s="56">
        <v>3.35</v>
      </c>
      <c r="H1015" s="56" t="s">
        <v>24</v>
      </c>
      <c r="I1015" s="56">
        <v>1</v>
      </c>
      <c r="J1015" s="56" t="s">
        <v>24</v>
      </c>
      <c r="K1015" s="25">
        <v>2</v>
      </c>
      <c r="L1015" s="32" t="s">
        <v>12</v>
      </c>
      <c r="M1015" s="49">
        <f t="shared" si="17"/>
        <v>7.7049999999999992</v>
      </c>
      <c r="N1015" s="10" t="s">
        <v>25</v>
      </c>
      <c r="O1015" s="10"/>
      <c r="P1015" s="105"/>
      <c r="Q1015" s="6"/>
    </row>
    <row r="1016" spans="1:17" s="7" customFormat="1" ht="66" customHeight="1" x14ac:dyDescent="0.25">
      <c r="A1016" s="8"/>
      <c r="B1016" s="104"/>
      <c r="C1016" s="22" t="s">
        <v>96</v>
      </c>
      <c r="D1016" s="24"/>
      <c r="E1016" s="48">
        <v>1.4</v>
      </c>
      <c r="F1016" s="48" t="s">
        <v>24</v>
      </c>
      <c r="G1016" s="56">
        <v>3.4</v>
      </c>
      <c r="H1016" s="56" t="s">
        <v>24</v>
      </c>
      <c r="I1016" s="56">
        <v>2</v>
      </c>
      <c r="J1016" s="56" t="s">
        <v>24</v>
      </c>
      <c r="K1016" s="25">
        <v>1</v>
      </c>
      <c r="L1016" s="32" t="s">
        <v>12</v>
      </c>
      <c r="M1016" s="49">
        <f t="shared" si="17"/>
        <v>9.52</v>
      </c>
      <c r="N1016" s="10" t="s">
        <v>25</v>
      </c>
      <c r="O1016" s="10"/>
      <c r="P1016" s="105"/>
      <c r="Q1016" s="6"/>
    </row>
    <row r="1017" spans="1:17" s="7" customFormat="1" ht="66" customHeight="1" x14ac:dyDescent="0.25">
      <c r="A1017" s="8"/>
      <c r="B1017" s="104"/>
      <c r="C1017" s="22" t="s">
        <v>197</v>
      </c>
      <c r="D1017" s="24" t="s">
        <v>12</v>
      </c>
      <c r="E1017" s="48">
        <v>1.2</v>
      </c>
      <c r="F1017" s="48" t="s">
        <v>24</v>
      </c>
      <c r="G1017" s="56">
        <v>3.5</v>
      </c>
      <c r="H1017" s="56" t="s">
        <v>24</v>
      </c>
      <c r="I1017" s="56">
        <v>2</v>
      </c>
      <c r="J1017" s="56" t="s">
        <v>24</v>
      </c>
      <c r="K1017" s="25">
        <v>2</v>
      </c>
      <c r="L1017" s="32" t="s">
        <v>12</v>
      </c>
      <c r="M1017" s="49">
        <f t="shared" si="17"/>
        <v>16.8</v>
      </c>
      <c r="N1017" s="10" t="s">
        <v>25</v>
      </c>
      <c r="O1017" s="10"/>
      <c r="P1017" s="105"/>
      <c r="Q1017" s="6"/>
    </row>
    <row r="1018" spans="1:17" s="7" customFormat="1" ht="66" customHeight="1" x14ac:dyDescent="0.25">
      <c r="A1018" s="8"/>
      <c r="B1018" s="104"/>
      <c r="C1018" s="22" t="s">
        <v>116</v>
      </c>
      <c r="D1018" s="24" t="s">
        <v>12</v>
      </c>
      <c r="E1018" s="48">
        <v>1.2</v>
      </c>
      <c r="F1018" s="48" t="s">
        <v>24</v>
      </c>
      <c r="G1018" s="56">
        <v>3.5</v>
      </c>
      <c r="H1018" s="56" t="s">
        <v>24</v>
      </c>
      <c r="I1018" s="56">
        <v>1</v>
      </c>
      <c r="J1018" s="56" t="s">
        <v>24</v>
      </c>
      <c r="K1018" s="25">
        <v>2</v>
      </c>
      <c r="L1018" s="32" t="s">
        <v>12</v>
      </c>
      <c r="M1018" s="49">
        <f t="shared" si="17"/>
        <v>8.4</v>
      </c>
      <c r="N1018" s="10" t="s">
        <v>25</v>
      </c>
      <c r="O1018" s="10"/>
      <c r="P1018" s="105"/>
      <c r="Q1018" s="6"/>
    </row>
    <row r="1019" spans="1:17" s="7" customFormat="1" ht="66" customHeight="1" x14ac:dyDescent="0.25">
      <c r="A1019" s="8"/>
      <c r="B1019" s="104"/>
      <c r="C1019" s="22" t="s">
        <v>320</v>
      </c>
      <c r="D1019" s="24" t="s">
        <v>12</v>
      </c>
      <c r="E1019" s="48">
        <v>0.7</v>
      </c>
      <c r="F1019" s="48" t="s">
        <v>24</v>
      </c>
      <c r="G1019" s="56">
        <v>1.8</v>
      </c>
      <c r="H1019" s="56" t="s">
        <v>24</v>
      </c>
      <c r="I1019" s="56">
        <v>2</v>
      </c>
      <c r="J1019" s="56" t="s">
        <v>24</v>
      </c>
      <c r="K1019" s="25">
        <v>2</v>
      </c>
      <c r="L1019" s="32" t="s">
        <v>12</v>
      </c>
      <c r="M1019" s="49">
        <f t="shared" si="17"/>
        <v>5.04</v>
      </c>
      <c r="N1019" s="10" t="s">
        <v>25</v>
      </c>
      <c r="O1019" s="10"/>
      <c r="P1019" s="105"/>
      <c r="Q1019" s="6"/>
    </row>
    <row r="1020" spans="1:17" s="7" customFormat="1" ht="66" customHeight="1" x14ac:dyDescent="0.25">
      <c r="A1020" s="8"/>
      <c r="B1020" s="104"/>
      <c r="C1020" s="22" t="s">
        <v>321</v>
      </c>
      <c r="D1020" s="24" t="s">
        <v>12</v>
      </c>
      <c r="E1020" s="48">
        <v>0.7</v>
      </c>
      <c r="F1020" s="48" t="s">
        <v>24</v>
      </c>
      <c r="G1020" s="56">
        <v>1.8</v>
      </c>
      <c r="H1020" s="56" t="s">
        <v>24</v>
      </c>
      <c r="I1020" s="56">
        <v>2</v>
      </c>
      <c r="J1020" s="56" t="s">
        <v>24</v>
      </c>
      <c r="K1020" s="25">
        <v>2</v>
      </c>
      <c r="L1020" s="32" t="s">
        <v>12</v>
      </c>
      <c r="M1020" s="49">
        <f t="shared" si="17"/>
        <v>5.04</v>
      </c>
      <c r="N1020" s="10" t="s">
        <v>25</v>
      </c>
      <c r="O1020" s="10"/>
      <c r="P1020" s="105"/>
      <c r="Q1020" s="6"/>
    </row>
    <row r="1021" spans="1:17" s="7" customFormat="1" ht="66" customHeight="1" x14ac:dyDescent="0.25">
      <c r="A1021" s="8"/>
      <c r="B1021" s="104"/>
      <c r="C1021" s="22" t="s">
        <v>117</v>
      </c>
      <c r="D1021" s="24" t="s">
        <v>12</v>
      </c>
      <c r="E1021" s="48">
        <v>1.2</v>
      </c>
      <c r="F1021" s="48" t="s">
        <v>24</v>
      </c>
      <c r="G1021" s="56">
        <v>3.5</v>
      </c>
      <c r="H1021" s="56" t="s">
        <v>24</v>
      </c>
      <c r="I1021" s="56">
        <v>1</v>
      </c>
      <c r="J1021" s="56" t="s">
        <v>24</v>
      </c>
      <c r="K1021" s="25">
        <v>2</v>
      </c>
      <c r="L1021" s="32" t="s">
        <v>12</v>
      </c>
      <c r="M1021" s="49">
        <f t="shared" si="17"/>
        <v>8.4</v>
      </c>
      <c r="N1021" s="10" t="s">
        <v>25</v>
      </c>
      <c r="O1021" s="10"/>
      <c r="P1021" s="105"/>
      <c r="Q1021" s="6"/>
    </row>
    <row r="1022" spans="1:17" s="7" customFormat="1" ht="66" customHeight="1" x14ac:dyDescent="0.25">
      <c r="A1022" s="8"/>
      <c r="B1022" s="104"/>
      <c r="C1022" s="22" t="s">
        <v>118</v>
      </c>
      <c r="D1022" s="24" t="s">
        <v>12</v>
      </c>
      <c r="E1022" s="48">
        <v>1.2</v>
      </c>
      <c r="F1022" s="48" t="s">
        <v>24</v>
      </c>
      <c r="G1022" s="56">
        <v>3.5</v>
      </c>
      <c r="H1022" s="56" t="s">
        <v>24</v>
      </c>
      <c r="I1022" s="56">
        <v>1</v>
      </c>
      <c r="J1022" s="56" t="s">
        <v>24</v>
      </c>
      <c r="K1022" s="25">
        <v>2</v>
      </c>
      <c r="L1022" s="32" t="s">
        <v>12</v>
      </c>
      <c r="M1022" s="49">
        <f t="shared" si="17"/>
        <v>8.4</v>
      </c>
      <c r="N1022" s="10" t="s">
        <v>25</v>
      </c>
      <c r="O1022" s="10"/>
      <c r="P1022" s="105"/>
      <c r="Q1022" s="6"/>
    </row>
    <row r="1023" spans="1:17" s="7" customFormat="1" ht="66" customHeight="1" x14ac:dyDescent="0.25">
      <c r="A1023" s="8"/>
      <c r="B1023" s="104"/>
      <c r="C1023" s="22" t="s">
        <v>198</v>
      </c>
      <c r="D1023" s="24" t="s">
        <v>12</v>
      </c>
      <c r="E1023" s="48">
        <v>1.2</v>
      </c>
      <c r="F1023" s="48" t="s">
        <v>24</v>
      </c>
      <c r="G1023" s="56">
        <v>3.5</v>
      </c>
      <c r="H1023" s="56" t="s">
        <v>24</v>
      </c>
      <c r="I1023" s="56">
        <v>1</v>
      </c>
      <c r="J1023" s="56" t="s">
        <v>24</v>
      </c>
      <c r="K1023" s="25">
        <v>2</v>
      </c>
      <c r="L1023" s="32" t="s">
        <v>12</v>
      </c>
      <c r="M1023" s="49">
        <f t="shared" si="17"/>
        <v>8.4</v>
      </c>
      <c r="N1023" s="10" t="s">
        <v>25</v>
      </c>
      <c r="O1023" s="10"/>
      <c r="P1023" s="105"/>
      <c r="Q1023" s="6"/>
    </row>
    <row r="1024" spans="1:17" s="7" customFormat="1" ht="66" customHeight="1" x14ac:dyDescent="0.25">
      <c r="A1024" s="8"/>
      <c r="B1024" s="104"/>
      <c r="C1024" s="22" t="s">
        <v>119</v>
      </c>
      <c r="D1024" s="24" t="s">
        <v>12</v>
      </c>
      <c r="E1024" s="48">
        <v>0.8</v>
      </c>
      <c r="F1024" s="48" t="s">
        <v>24</v>
      </c>
      <c r="G1024" s="56">
        <v>2.1</v>
      </c>
      <c r="H1024" s="56" t="s">
        <v>24</v>
      </c>
      <c r="I1024" s="56">
        <v>1</v>
      </c>
      <c r="J1024" s="56" t="s">
        <v>24</v>
      </c>
      <c r="K1024" s="25">
        <v>2</v>
      </c>
      <c r="L1024" s="32" t="s">
        <v>12</v>
      </c>
      <c r="M1024" s="49">
        <f t="shared" si="17"/>
        <v>3.3600000000000003</v>
      </c>
      <c r="N1024" s="10" t="s">
        <v>25</v>
      </c>
      <c r="O1024" s="10"/>
      <c r="P1024" s="105"/>
      <c r="Q1024" s="6"/>
    </row>
    <row r="1025" spans="1:17" s="7" customFormat="1" ht="66" customHeight="1" x14ac:dyDescent="0.25">
      <c r="A1025" s="8"/>
      <c r="B1025" s="104"/>
      <c r="C1025" s="22" t="s">
        <v>120</v>
      </c>
      <c r="D1025" s="24" t="s">
        <v>12</v>
      </c>
      <c r="E1025" s="48">
        <v>0.8</v>
      </c>
      <c r="F1025" s="48" t="s">
        <v>24</v>
      </c>
      <c r="G1025" s="56">
        <v>2.1</v>
      </c>
      <c r="H1025" s="56" t="s">
        <v>24</v>
      </c>
      <c r="I1025" s="56">
        <v>1</v>
      </c>
      <c r="J1025" s="56" t="s">
        <v>24</v>
      </c>
      <c r="K1025" s="25">
        <v>2</v>
      </c>
      <c r="L1025" s="32" t="s">
        <v>12</v>
      </c>
      <c r="M1025" s="49">
        <f t="shared" si="17"/>
        <v>3.3600000000000003</v>
      </c>
      <c r="N1025" s="10" t="s">
        <v>25</v>
      </c>
      <c r="O1025" s="10"/>
      <c r="P1025" s="105"/>
      <c r="Q1025" s="6"/>
    </row>
    <row r="1026" spans="1:17" s="7" customFormat="1" ht="66" customHeight="1" x14ac:dyDescent="0.25">
      <c r="A1026" s="8"/>
      <c r="B1026" s="104"/>
      <c r="C1026" s="22" t="s">
        <v>176</v>
      </c>
      <c r="D1026" s="24" t="s">
        <v>12</v>
      </c>
      <c r="E1026" s="48">
        <v>0.8</v>
      </c>
      <c r="F1026" s="48" t="s">
        <v>24</v>
      </c>
      <c r="G1026" s="56">
        <v>2.1</v>
      </c>
      <c r="H1026" s="56" t="s">
        <v>24</v>
      </c>
      <c r="I1026" s="56">
        <v>2</v>
      </c>
      <c r="J1026" s="56" t="s">
        <v>24</v>
      </c>
      <c r="K1026" s="25">
        <v>2</v>
      </c>
      <c r="L1026" s="32" t="s">
        <v>12</v>
      </c>
      <c r="M1026" s="49">
        <f t="shared" si="17"/>
        <v>6.7200000000000006</v>
      </c>
      <c r="N1026" s="10" t="s">
        <v>25</v>
      </c>
      <c r="O1026" s="10"/>
      <c r="P1026" s="105"/>
      <c r="Q1026" s="6"/>
    </row>
    <row r="1027" spans="1:17" s="7" customFormat="1" ht="66" customHeight="1" x14ac:dyDescent="0.25">
      <c r="A1027" s="8"/>
      <c r="B1027" s="104"/>
      <c r="C1027" s="22"/>
      <c r="D1027" s="24"/>
      <c r="E1027" s="48"/>
      <c r="F1027" s="48"/>
      <c r="G1027" s="56"/>
      <c r="H1027" s="56"/>
      <c r="I1027" s="56"/>
      <c r="J1027" s="56"/>
      <c r="K1027" s="25"/>
      <c r="L1027" s="32"/>
      <c r="M1027" s="49"/>
      <c r="N1027" s="10"/>
      <c r="O1027" s="10"/>
      <c r="P1027" s="105"/>
      <c r="Q1027" s="6"/>
    </row>
    <row r="1028" spans="1:17" s="7" customFormat="1" ht="66" customHeight="1" x14ac:dyDescent="0.25">
      <c r="A1028" s="8"/>
      <c r="B1028" s="104"/>
      <c r="C1028" s="22" t="s">
        <v>74</v>
      </c>
      <c r="D1028" s="24"/>
      <c r="E1028" s="48"/>
      <c r="F1028" s="48"/>
      <c r="G1028" s="56"/>
      <c r="H1028" s="56"/>
      <c r="I1028" s="56"/>
      <c r="J1028" s="56"/>
      <c r="K1028" s="25"/>
      <c r="L1028" s="32"/>
      <c r="M1028" s="49"/>
      <c r="N1028" s="10"/>
      <c r="O1028" s="10"/>
      <c r="P1028" s="105"/>
      <c r="Q1028" s="6"/>
    </row>
    <row r="1029" spans="1:17" s="7" customFormat="1" ht="66" customHeight="1" x14ac:dyDescent="0.25">
      <c r="A1029" s="8"/>
      <c r="B1029" s="104"/>
      <c r="C1029" s="22"/>
      <c r="D1029" s="24"/>
      <c r="E1029" s="48"/>
      <c r="F1029" s="48"/>
      <c r="G1029" s="56"/>
      <c r="H1029" s="56"/>
      <c r="I1029" s="56"/>
      <c r="J1029" s="56"/>
      <c r="K1029" s="25"/>
      <c r="L1029" s="32"/>
      <c r="M1029" s="49"/>
      <c r="N1029" s="10"/>
      <c r="O1029" s="10"/>
      <c r="P1029" s="105"/>
      <c r="Q1029" s="6"/>
    </row>
    <row r="1030" spans="1:17" s="7" customFormat="1" ht="66" customHeight="1" x14ac:dyDescent="0.25">
      <c r="A1030" s="8"/>
      <c r="B1030" s="104"/>
      <c r="C1030" s="22" t="s">
        <v>76</v>
      </c>
      <c r="D1030" s="24" t="s">
        <v>12</v>
      </c>
      <c r="E1030" s="48">
        <v>1.4</v>
      </c>
      <c r="F1030" s="48" t="s">
        <v>24</v>
      </c>
      <c r="G1030" s="56">
        <v>2.8</v>
      </c>
      <c r="H1030" s="56" t="s">
        <v>24</v>
      </c>
      <c r="I1030" s="56">
        <v>2</v>
      </c>
      <c r="J1030" s="56" t="s">
        <v>24</v>
      </c>
      <c r="K1030" s="25">
        <v>2</v>
      </c>
      <c r="L1030" s="32" t="s">
        <v>12</v>
      </c>
      <c r="M1030" s="49">
        <f>E1030*G1030*I1030*K1030</f>
        <v>15.679999999999998</v>
      </c>
      <c r="N1030" s="10" t="s">
        <v>25</v>
      </c>
      <c r="O1030" s="10"/>
      <c r="P1030" s="105"/>
      <c r="Q1030" s="6"/>
    </row>
    <row r="1031" spans="1:17" s="7" customFormat="1" ht="66" customHeight="1" x14ac:dyDescent="0.25">
      <c r="A1031" s="8"/>
      <c r="B1031" s="104"/>
      <c r="C1031" s="22" t="s">
        <v>78</v>
      </c>
      <c r="D1031" s="24" t="s">
        <v>12</v>
      </c>
      <c r="E1031" s="48">
        <v>1.4</v>
      </c>
      <c r="F1031" s="48" t="s">
        <v>24</v>
      </c>
      <c r="G1031" s="56">
        <v>2.8</v>
      </c>
      <c r="H1031" s="56" t="s">
        <v>24</v>
      </c>
      <c r="I1031" s="56">
        <v>2</v>
      </c>
      <c r="J1031" s="56" t="s">
        <v>24</v>
      </c>
      <c r="K1031" s="25">
        <v>2</v>
      </c>
      <c r="L1031" s="32" t="s">
        <v>12</v>
      </c>
      <c r="M1031" s="49">
        <f t="shared" ref="M1031:M1051" si="18">E1031*G1031*I1031*K1031</f>
        <v>15.679999999999998</v>
      </c>
      <c r="N1031" s="10" t="s">
        <v>25</v>
      </c>
      <c r="O1031" s="10"/>
      <c r="P1031" s="105"/>
      <c r="Q1031" s="6"/>
    </row>
    <row r="1032" spans="1:17" s="7" customFormat="1" ht="66" customHeight="1" x14ac:dyDescent="0.25">
      <c r="A1032" s="8"/>
      <c r="B1032" s="104"/>
      <c r="C1032" s="22" t="s">
        <v>79</v>
      </c>
      <c r="D1032" s="24" t="s">
        <v>12</v>
      </c>
      <c r="E1032" s="48">
        <v>1.4</v>
      </c>
      <c r="F1032" s="48" t="s">
        <v>24</v>
      </c>
      <c r="G1032" s="56">
        <v>2.8</v>
      </c>
      <c r="H1032" s="56" t="s">
        <v>24</v>
      </c>
      <c r="I1032" s="56">
        <v>2</v>
      </c>
      <c r="J1032" s="56" t="s">
        <v>24</v>
      </c>
      <c r="K1032" s="25">
        <v>2</v>
      </c>
      <c r="L1032" s="32" t="s">
        <v>12</v>
      </c>
      <c r="M1032" s="49">
        <f t="shared" si="18"/>
        <v>15.679999999999998</v>
      </c>
      <c r="N1032" s="10" t="s">
        <v>25</v>
      </c>
      <c r="O1032" s="10"/>
      <c r="P1032" s="105"/>
      <c r="Q1032" s="6"/>
    </row>
    <row r="1033" spans="1:17" s="7" customFormat="1" ht="66" customHeight="1" x14ac:dyDescent="0.25">
      <c r="A1033" s="8"/>
      <c r="B1033" s="104"/>
      <c r="C1033" s="22" t="s">
        <v>80</v>
      </c>
      <c r="D1033" s="24" t="s">
        <v>12</v>
      </c>
      <c r="E1033" s="48">
        <v>1.4</v>
      </c>
      <c r="F1033" s="48" t="s">
        <v>24</v>
      </c>
      <c r="G1033" s="56">
        <v>2.4</v>
      </c>
      <c r="H1033" s="56" t="s">
        <v>24</v>
      </c>
      <c r="I1033" s="56">
        <v>2</v>
      </c>
      <c r="J1033" s="56" t="s">
        <v>24</v>
      </c>
      <c r="K1033" s="25">
        <v>2</v>
      </c>
      <c r="L1033" s="32" t="s">
        <v>12</v>
      </c>
      <c r="M1033" s="49">
        <f t="shared" si="18"/>
        <v>13.44</v>
      </c>
      <c r="N1033" s="10" t="s">
        <v>25</v>
      </c>
      <c r="O1033" s="10"/>
      <c r="P1033" s="105"/>
      <c r="Q1033" s="6"/>
    </row>
    <row r="1034" spans="1:17" s="7" customFormat="1" ht="66" customHeight="1" x14ac:dyDescent="0.25">
      <c r="A1034" s="8"/>
      <c r="B1034" s="104"/>
      <c r="C1034" s="22" t="s">
        <v>81</v>
      </c>
      <c r="D1034" s="24" t="s">
        <v>12</v>
      </c>
      <c r="E1034" s="48">
        <v>1.4</v>
      </c>
      <c r="F1034" s="48" t="s">
        <v>24</v>
      </c>
      <c r="G1034" s="56">
        <v>2.8</v>
      </c>
      <c r="H1034" s="56" t="s">
        <v>24</v>
      </c>
      <c r="I1034" s="56">
        <v>1</v>
      </c>
      <c r="J1034" s="56" t="s">
        <v>24</v>
      </c>
      <c r="K1034" s="25">
        <v>2</v>
      </c>
      <c r="L1034" s="32" t="s">
        <v>12</v>
      </c>
      <c r="M1034" s="49">
        <f t="shared" si="18"/>
        <v>7.839999999999999</v>
      </c>
      <c r="N1034" s="10" t="s">
        <v>25</v>
      </c>
      <c r="O1034" s="10"/>
      <c r="P1034" s="105"/>
      <c r="Q1034" s="6"/>
    </row>
    <row r="1035" spans="1:17" s="7" customFormat="1" ht="66" customHeight="1" x14ac:dyDescent="0.25">
      <c r="A1035" s="8"/>
      <c r="B1035" s="104"/>
      <c r="C1035" s="22" t="s">
        <v>82</v>
      </c>
      <c r="D1035" s="24" t="s">
        <v>12</v>
      </c>
      <c r="E1035" s="48">
        <v>1.4</v>
      </c>
      <c r="F1035" s="48" t="s">
        <v>24</v>
      </c>
      <c r="G1035" s="56">
        <v>2.4</v>
      </c>
      <c r="H1035" s="56" t="s">
        <v>24</v>
      </c>
      <c r="I1035" s="56">
        <v>2</v>
      </c>
      <c r="J1035" s="56" t="s">
        <v>24</v>
      </c>
      <c r="K1035" s="25">
        <v>2</v>
      </c>
      <c r="L1035" s="32" t="s">
        <v>12</v>
      </c>
      <c r="M1035" s="49">
        <f t="shared" si="18"/>
        <v>13.44</v>
      </c>
      <c r="N1035" s="10" t="s">
        <v>25</v>
      </c>
      <c r="O1035" s="10"/>
      <c r="P1035" s="105"/>
      <c r="Q1035" s="6"/>
    </row>
    <row r="1036" spans="1:17" s="7" customFormat="1" ht="66" customHeight="1" x14ac:dyDescent="0.25">
      <c r="A1036" s="8"/>
      <c r="B1036" s="104"/>
      <c r="C1036" s="22" t="s">
        <v>83</v>
      </c>
      <c r="D1036" s="24" t="s">
        <v>12</v>
      </c>
      <c r="E1036" s="48">
        <v>1.4</v>
      </c>
      <c r="F1036" s="48" t="s">
        <v>24</v>
      </c>
      <c r="G1036" s="56">
        <v>2.8</v>
      </c>
      <c r="H1036" s="56" t="s">
        <v>24</v>
      </c>
      <c r="I1036" s="56">
        <v>1</v>
      </c>
      <c r="J1036" s="56" t="s">
        <v>24</v>
      </c>
      <c r="K1036" s="25">
        <v>2</v>
      </c>
      <c r="L1036" s="32" t="s">
        <v>12</v>
      </c>
      <c r="M1036" s="49">
        <f t="shared" si="18"/>
        <v>7.839999999999999</v>
      </c>
      <c r="N1036" s="10" t="s">
        <v>25</v>
      </c>
      <c r="O1036" s="10"/>
      <c r="P1036" s="105"/>
      <c r="Q1036" s="6"/>
    </row>
    <row r="1037" spans="1:17" s="7" customFormat="1" ht="66" customHeight="1" x14ac:dyDescent="0.25">
      <c r="A1037" s="8"/>
      <c r="B1037" s="104"/>
      <c r="C1037" s="22" t="s">
        <v>84</v>
      </c>
      <c r="D1037" s="24" t="s">
        <v>12</v>
      </c>
      <c r="E1037" s="48">
        <v>1.4</v>
      </c>
      <c r="F1037" s="48" t="s">
        <v>24</v>
      </c>
      <c r="G1037" s="56">
        <v>2.8</v>
      </c>
      <c r="H1037" s="56" t="s">
        <v>24</v>
      </c>
      <c r="I1037" s="56">
        <v>2</v>
      </c>
      <c r="J1037" s="56" t="s">
        <v>24</v>
      </c>
      <c r="K1037" s="25">
        <v>2</v>
      </c>
      <c r="L1037" s="32" t="s">
        <v>12</v>
      </c>
      <c r="M1037" s="49">
        <f t="shared" si="18"/>
        <v>15.679999999999998</v>
      </c>
      <c r="N1037" s="10" t="s">
        <v>25</v>
      </c>
      <c r="O1037" s="10"/>
      <c r="P1037" s="105"/>
      <c r="Q1037" s="6"/>
    </row>
    <row r="1038" spans="1:17" s="7" customFormat="1" ht="66" customHeight="1" x14ac:dyDescent="0.25">
      <c r="A1038" s="8"/>
      <c r="B1038" s="104"/>
      <c r="C1038" s="22" t="s">
        <v>85</v>
      </c>
      <c r="D1038" s="24" t="s">
        <v>12</v>
      </c>
      <c r="E1038" s="48">
        <v>1.4</v>
      </c>
      <c r="F1038" s="48" t="s">
        <v>24</v>
      </c>
      <c r="G1038" s="56">
        <v>2.8</v>
      </c>
      <c r="H1038" s="56" t="s">
        <v>24</v>
      </c>
      <c r="I1038" s="56">
        <v>1</v>
      </c>
      <c r="J1038" s="56" t="s">
        <v>24</v>
      </c>
      <c r="K1038" s="25">
        <v>2</v>
      </c>
      <c r="L1038" s="32" t="s">
        <v>12</v>
      </c>
      <c r="M1038" s="49">
        <f t="shared" si="18"/>
        <v>7.839999999999999</v>
      </c>
      <c r="N1038" s="10" t="s">
        <v>25</v>
      </c>
      <c r="O1038" s="10"/>
      <c r="P1038" s="105"/>
      <c r="Q1038" s="6"/>
    </row>
    <row r="1039" spans="1:17" s="7" customFormat="1" ht="66" customHeight="1" x14ac:dyDescent="0.25">
      <c r="A1039" s="8"/>
      <c r="B1039" s="104"/>
      <c r="C1039" s="22" t="s">
        <v>86</v>
      </c>
      <c r="D1039" s="24" t="s">
        <v>12</v>
      </c>
      <c r="E1039" s="48">
        <v>1.4</v>
      </c>
      <c r="F1039" s="48" t="s">
        <v>24</v>
      </c>
      <c r="G1039" s="56">
        <v>2.8</v>
      </c>
      <c r="H1039" s="56" t="s">
        <v>24</v>
      </c>
      <c r="I1039" s="56">
        <v>4</v>
      </c>
      <c r="J1039" s="56" t="s">
        <v>24</v>
      </c>
      <c r="K1039" s="25">
        <v>2</v>
      </c>
      <c r="L1039" s="32" t="s">
        <v>12</v>
      </c>
      <c r="M1039" s="49">
        <f t="shared" si="18"/>
        <v>31.359999999999996</v>
      </c>
      <c r="N1039" s="10" t="s">
        <v>25</v>
      </c>
      <c r="O1039" s="10"/>
      <c r="P1039" s="105"/>
      <c r="Q1039" s="6"/>
    </row>
    <row r="1040" spans="1:17" s="7" customFormat="1" ht="66" customHeight="1" x14ac:dyDescent="0.25">
      <c r="A1040" s="8"/>
      <c r="B1040" s="104"/>
      <c r="C1040" s="22" t="s">
        <v>87</v>
      </c>
      <c r="D1040" s="24" t="s">
        <v>12</v>
      </c>
      <c r="E1040" s="48">
        <v>1.4</v>
      </c>
      <c r="F1040" s="48" t="s">
        <v>24</v>
      </c>
      <c r="G1040" s="56">
        <v>2.8</v>
      </c>
      <c r="H1040" s="56" t="s">
        <v>24</v>
      </c>
      <c r="I1040" s="56">
        <v>1</v>
      </c>
      <c r="J1040" s="56" t="s">
        <v>24</v>
      </c>
      <c r="K1040" s="25">
        <v>2</v>
      </c>
      <c r="L1040" s="32" t="s">
        <v>12</v>
      </c>
      <c r="M1040" s="49">
        <f t="shared" si="18"/>
        <v>7.839999999999999</v>
      </c>
      <c r="N1040" s="10" t="s">
        <v>25</v>
      </c>
      <c r="O1040" s="10"/>
      <c r="P1040" s="105"/>
      <c r="Q1040" s="6"/>
    </row>
    <row r="1041" spans="1:17" s="7" customFormat="1" ht="66" customHeight="1" x14ac:dyDescent="0.25">
      <c r="A1041" s="8"/>
      <c r="B1041" s="104"/>
      <c r="C1041" s="22" t="s">
        <v>88</v>
      </c>
      <c r="D1041" s="24" t="s">
        <v>12</v>
      </c>
      <c r="E1041" s="48">
        <v>1.4</v>
      </c>
      <c r="F1041" s="48" t="s">
        <v>24</v>
      </c>
      <c r="G1041" s="56">
        <v>2.4</v>
      </c>
      <c r="H1041" s="56" t="s">
        <v>24</v>
      </c>
      <c r="I1041" s="56">
        <v>1</v>
      </c>
      <c r="J1041" s="56" t="s">
        <v>24</v>
      </c>
      <c r="K1041" s="25">
        <v>2</v>
      </c>
      <c r="L1041" s="32" t="s">
        <v>12</v>
      </c>
      <c r="M1041" s="49">
        <f t="shared" si="18"/>
        <v>6.72</v>
      </c>
      <c r="N1041" s="10" t="s">
        <v>25</v>
      </c>
      <c r="O1041" s="10"/>
      <c r="P1041" s="105"/>
      <c r="Q1041" s="6"/>
    </row>
    <row r="1042" spans="1:17" s="7" customFormat="1" ht="66" customHeight="1" x14ac:dyDescent="0.25">
      <c r="A1042" s="8"/>
      <c r="B1042" s="104"/>
      <c r="C1042" s="22" t="s">
        <v>89</v>
      </c>
      <c r="D1042" s="24" t="s">
        <v>12</v>
      </c>
      <c r="E1042" s="48">
        <v>1.4</v>
      </c>
      <c r="F1042" s="48" t="s">
        <v>24</v>
      </c>
      <c r="G1042" s="56">
        <v>2.4</v>
      </c>
      <c r="H1042" s="56" t="s">
        <v>24</v>
      </c>
      <c r="I1042" s="56">
        <v>1</v>
      </c>
      <c r="J1042" s="56" t="s">
        <v>24</v>
      </c>
      <c r="K1042" s="25">
        <v>2</v>
      </c>
      <c r="L1042" s="32" t="s">
        <v>12</v>
      </c>
      <c r="M1042" s="49">
        <f t="shared" si="18"/>
        <v>6.72</v>
      </c>
      <c r="N1042" s="10" t="s">
        <v>25</v>
      </c>
      <c r="O1042" s="10"/>
      <c r="P1042" s="105"/>
      <c r="Q1042" s="6"/>
    </row>
    <row r="1043" spans="1:17" s="7" customFormat="1" ht="66" customHeight="1" x14ac:dyDescent="0.25">
      <c r="A1043" s="8"/>
      <c r="B1043" s="104"/>
      <c r="C1043" s="22" t="s">
        <v>90</v>
      </c>
      <c r="D1043" s="24" t="s">
        <v>12</v>
      </c>
      <c r="E1043" s="48">
        <v>1.4</v>
      </c>
      <c r="F1043" s="48" t="s">
        <v>24</v>
      </c>
      <c r="G1043" s="56">
        <v>2.4</v>
      </c>
      <c r="H1043" s="56" t="s">
        <v>24</v>
      </c>
      <c r="I1043" s="56">
        <v>2</v>
      </c>
      <c r="J1043" s="56" t="s">
        <v>24</v>
      </c>
      <c r="K1043" s="25">
        <v>2</v>
      </c>
      <c r="L1043" s="32" t="s">
        <v>12</v>
      </c>
      <c r="M1043" s="49">
        <f t="shared" si="18"/>
        <v>13.44</v>
      </c>
      <c r="N1043" s="10" t="s">
        <v>25</v>
      </c>
      <c r="O1043" s="10"/>
      <c r="P1043" s="105"/>
      <c r="Q1043" s="6"/>
    </row>
    <row r="1044" spans="1:17" s="7" customFormat="1" ht="66" customHeight="1" x14ac:dyDescent="0.25">
      <c r="A1044" s="8"/>
      <c r="B1044" s="104"/>
      <c r="C1044" s="22" t="s">
        <v>91</v>
      </c>
      <c r="D1044" s="24" t="s">
        <v>12</v>
      </c>
      <c r="E1044" s="48">
        <v>1.4</v>
      </c>
      <c r="F1044" s="48" t="s">
        <v>24</v>
      </c>
      <c r="G1044" s="56">
        <v>2.4</v>
      </c>
      <c r="H1044" s="56" t="s">
        <v>24</v>
      </c>
      <c r="I1044" s="56">
        <v>2</v>
      </c>
      <c r="J1044" s="56" t="s">
        <v>24</v>
      </c>
      <c r="K1044" s="25">
        <v>2</v>
      </c>
      <c r="L1044" s="32" t="s">
        <v>12</v>
      </c>
      <c r="M1044" s="49">
        <f t="shared" si="18"/>
        <v>13.44</v>
      </c>
      <c r="N1044" s="10" t="s">
        <v>25</v>
      </c>
      <c r="O1044" s="10"/>
      <c r="P1044" s="105"/>
      <c r="Q1044" s="6"/>
    </row>
    <row r="1045" spans="1:17" s="7" customFormat="1" ht="66" customHeight="1" x14ac:dyDescent="0.25">
      <c r="A1045" s="8"/>
      <c r="B1045" s="104"/>
      <c r="C1045" s="22" t="s">
        <v>182</v>
      </c>
      <c r="D1045" s="24" t="s">
        <v>12</v>
      </c>
      <c r="E1045" s="48">
        <v>0.45</v>
      </c>
      <c r="F1045" s="48" t="s">
        <v>24</v>
      </c>
      <c r="G1045" s="56">
        <v>1.4</v>
      </c>
      <c r="H1045" s="56" t="s">
        <v>24</v>
      </c>
      <c r="I1045" s="56">
        <v>4</v>
      </c>
      <c r="J1045" s="56" t="s">
        <v>24</v>
      </c>
      <c r="K1045" s="25">
        <v>2</v>
      </c>
      <c r="L1045" s="32" t="s">
        <v>12</v>
      </c>
      <c r="M1045" s="49">
        <f>E1045*G1045*I1045*K1045</f>
        <v>5.04</v>
      </c>
      <c r="N1045" s="10" t="s">
        <v>25</v>
      </c>
      <c r="O1045" s="10"/>
      <c r="P1045" s="105"/>
      <c r="Q1045" s="6"/>
    </row>
    <row r="1046" spans="1:17" s="7" customFormat="1" ht="66" customHeight="1" x14ac:dyDescent="0.25">
      <c r="A1046" s="8"/>
      <c r="B1046" s="104"/>
      <c r="C1046" s="22" t="s">
        <v>92</v>
      </c>
      <c r="D1046" s="24" t="s">
        <v>12</v>
      </c>
      <c r="E1046" s="48">
        <v>1.4</v>
      </c>
      <c r="F1046" s="48" t="s">
        <v>24</v>
      </c>
      <c r="G1046" s="56">
        <v>2.4</v>
      </c>
      <c r="H1046" s="56" t="s">
        <v>24</v>
      </c>
      <c r="I1046" s="56">
        <v>1</v>
      </c>
      <c r="J1046" s="56" t="s">
        <v>24</v>
      </c>
      <c r="K1046" s="25">
        <v>2</v>
      </c>
      <c r="L1046" s="32" t="s">
        <v>12</v>
      </c>
      <c r="M1046" s="49">
        <f t="shared" si="18"/>
        <v>6.72</v>
      </c>
      <c r="N1046" s="10" t="s">
        <v>25</v>
      </c>
      <c r="O1046" s="10"/>
      <c r="P1046" s="105"/>
      <c r="Q1046" s="6"/>
    </row>
    <row r="1047" spans="1:17" s="7" customFormat="1" ht="66" customHeight="1" x14ac:dyDescent="0.25">
      <c r="A1047" s="8"/>
      <c r="B1047" s="104"/>
      <c r="C1047" s="22" t="s">
        <v>93</v>
      </c>
      <c r="D1047" s="24" t="s">
        <v>12</v>
      </c>
      <c r="E1047" s="48">
        <v>1.4</v>
      </c>
      <c r="F1047" s="48" t="s">
        <v>24</v>
      </c>
      <c r="G1047" s="56">
        <v>2.4</v>
      </c>
      <c r="H1047" s="56" t="s">
        <v>24</v>
      </c>
      <c r="I1047" s="56">
        <v>1</v>
      </c>
      <c r="J1047" s="56" t="s">
        <v>24</v>
      </c>
      <c r="K1047" s="25">
        <v>1</v>
      </c>
      <c r="L1047" s="32" t="s">
        <v>12</v>
      </c>
      <c r="M1047" s="49">
        <f t="shared" si="18"/>
        <v>3.36</v>
      </c>
      <c r="N1047" s="10" t="s">
        <v>25</v>
      </c>
      <c r="O1047" s="10"/>
      <c r="P1047" s="105"/>
      <c r="Q1047" s="6"/>
    </row>
    <row r="1048" spans="1:17" s="7" customFormat="1" ht="66" customHeight="1" x14ac:dyDescent="0.25">
      <c r="A1048" s="8"/>
      <c r="B1048" s="104"/>
      <c r="C1048" s="22" t="s">
        <v>94</v>
      </c>
      <c r="D1048" s="24" t="s">
        <v>12</v>
      </c>
      <c r="E1048" s="48">
        <v>1.4</v>
      </c>
      <c r="F1048" s="48" t="s">
        <v>24</v>
      </c>
      <c r="G1048" s="56">
        <v>2.4</v>
      </c>
      <c r="H1048" s="56" t="s">
        <v>24</v>
      </c>
      <c r="I1048" s="56">
        <v>2</v>
      </c>
      <c r="J1048" s="56" t="s">
        <v>24</v>
      </c>
      <c r="K1048" s="25">
        <v>2</v>
      </c>
      <c r="L1048" s="32" t="s">
        <v>12</v>
      </c>
      <c r="M1048" s="49">
        <f t="shared" si="18"/>
        <v>13.44</v>
      </c>
      <c r="N1048" s="10" t="s">
        <v>25</v>
      </c>
      <c r="O1048" s="10"/>
      <c r="P1048" s="105"/>
      <c r="Q1048" s="6"/>
    </row>
    <row r="1049" spans="1:17" s="7" customFormat="1" ht="66" customHeight="1" x14ac:dyDescent="0.25">
      <c r="A1049" s="8"/>
      <c r="B1049" s="104"/>
      <c r="C1049" s="22" t="s">
        <v>95</v>
      </c>
      <c r="D1049" s="24" t="s">
        <v>12</v>
      </c>
      <c r="E1049" s="48">
        <v>1.4</v>
      </c>
      <c r="F1049" s="48" t="s">
        <v>24</v>
      </c>
      <c r="G1049" s="56">
        <v>2.4</v>
      </c>
      <c r="H1049" s="56" t="s">
        <v>24</v>
      </c>
      <c r="I1049" s="56">
        <v>4</v>
      </c>
      <c r="J1049" s="56" t="s">
        <v>24</v>
      </c>
      <c r="K1049" s="25">
        <v>2</v>
      </c>
      <c r="L1049" s="32" t="s">
        <v>12</v>
      </c>
      <c r="M1049" s="49">
        <f t="shared" si="18"/>
        <v>26.88</v>
      </c>
      <c r="N1049" s="10" t="s">
        <v>25</v>
      </c>
      <c r="O1049" s="10"/>
      <c r="P1049" s="105"/>
      <c r="Q1049" s="6"/>
    </row>
    <row r="1050" spans="1:17" s="7" customFormat="1" ht="66" customHeight="1" x14ac:dyDescent="0.25">
      <c r="A1050" s="8"/>
      <c r="B1050" s="104"/>
      <c r="C1050" s="22" t="s">
        <v>96</v>
      </c>
      <c r="D1050" s="24" t="s">
        <v>12</v>
      </c>
      <c r="E1050" s="48">
        <v>1.4</v>
      </c>
      <c r="F1050" s="48" t="s">
        <v>24</v>
      </c>
      <c r="G1050" s="56">
        <v>2.4</v>
      </c>
      <c r="H1050" s="56" t="s">
        <v>24</v>
      </c>
      <c r="I1050" s="56">
        <v>2</v>
      </c>
      <c r="J1050" s="56" t="s">
        <v>24</v>
      </c>
      <c r="K1050" s="25">
        <v>1</v>
      </c>
      <c r="L1050" s="32" t="s">
        <v>12</v>
      </c>
      <c r="M1050" s="49">
        <f t="shared" si="18"/>
        <v>6.72</v>
      </c>
      <c r="N1050" s="10" t="s">
        <v>25</v>
      </c>
      <c r="O1050" s="10"/>
      <c r="P1050" s="105"/>
      <c r="Q1050" s="6"/>
    </row>
    <row r="1051" spans="1:17" s="7" customFormat="1" ht="66" customHeight="1" x14ac:dyDescent="0.25">
      <c r="A1051" s="8"/>
      <c r="B1051" s="104"/>
      <c r="C1051" s="22" t="s">
        <v>97</v>
      </c>
      <c r="D1051" s="24" t="s">
        <v>12</v>
      </c>
      <c r="E1051" s="48">
        <v>1.4</v>
      </c>
      <c r="F1051" s="48" t="s">
        <v>24</v>
      </c>
      <c r="G1051" s="56">
        <v>2.4</v>
      </c>
      <c r="H1051" s="56" t="s">
        <v>24</v>
      </c>
      <c r="I1051" s="56">
        <v>1</v>
      </c>
      <c r="J1051" s="56" t="s">
        <v>24</v>
      </c>
      <c r="K1051" s="25">
        <v>2</v>
      </c>
      <c r="L1051" s="32" t="s">
        <v>12</v>
      </c>
      <c r="M1051" s="49">
        <f t="shared" si="18"/>
        <v>6.72</v>
      </c>
      <c r="N1051" s="10" t="s">
        <v>25</v>
      </c>
      <c r="O1051" s="10"/>
      <c r="P1051" s="105"/>
      <c r="Q1051" s="6"/>
    </row>
    <row r="1052" spans="1:17" s="7" customFormat="1" ht="66" customHeight="1" x14ac:dyDescent="0.25">
      <c r="A1052" s="8"/>
      <c r="B1052" s="104"/>
      <c r="C1052" s="22" t="s">
        <v>98</v>
      </c>
      <c r="D1052" s="24" t="s">
        <v>12</v>
      </c>
      <c r="E1052" s="48">
        <v>1.4</v>
      </c>
      <c r="F1052" s="48" t="s">
        <v>24</v>
      </c>
      <c r="G1052" s="56">
        <v>2.4</v>
      </c>
      <c r="H1052" s="56" t="s">
        <v>24</v>
      </c>
      <c r="I1052" s="56">
        <v>1</v>
      </c>
      <c r="J1052" s="56" t="s">
        <v>24</v>
      </c>
      <c r="K1052" s="25">
        <v>2</v>
      </c>
      <c r="L1052" s="32" t="s">
        <v>12</v>
      </c>
      <c r="M1052" s="49">
        <f>E1052*G1052*I1052*K1052</f>
        <v>6.72</v>
      </c>
      <c r="N1052" s="10" t="s">
        <v>25</v>
      </c>
      <c r="O1052" s="10"/>
      <c r="P1052" s="105"/>
      <c r="Q1052" s="6"/>
    </row>
    <row r="1053" spans="1:17" s="7" customFormat="1" ht="66" customHeight="1" x14ac:dyDescent="0.25">
      <c r="A1053" s="8"/>
      <c r="B1053" s="104"/>
      <c r="C1053" s="22" t="s">
        <v>99</v>
      </c>
      <c r="D1053" s="24" t="s">
        <v>12</v>
      </c>
      <c r="E1053" s="48">
        <v>1.4</v>
      </c>
      <c r="F1053" s="48" t="s">
        <v>24</v>
      </c>
      <c r="G1053" s="56">
        <v>2.4</v>
      </c>
      <c r="H1053" s="56" t="s">
        <v>24</v>
      </c>
      <c r="I1053" s="56">
        <v>1</v>
      </c>
      <c r="J1053" s="56" t="s">
        <v>24</v>
      </c>
      <c r="K1053" s="25">
        <v>2</v>
      </c>
      <c r="L1053" s="32" t="s">
        <v>12</v>
      </c>
      <c r="M1053" s="49">
        <f>E1053*G1053*I1053*K1053</f>
        <v>6.72</v>
      </c>
      <c r="N1053" s="10" t="s">
        <v>25</v>
      </c>
      <c r="O1053" s="10"/>
      <c r="P1053" s="105"/>
      <c r="Q1053" s="6"/>
    </row>
    <row r="1054" spans="1:17" s="7" customFormat="1" ht="66" customHeight="1" x14ac:dyDescent="0.25">
      <c r="A1054" s="8"/>
      <c r="B1054" s="104"/>
      <c r="C1054" s="22" t="s">
        <v>100</v>
      </c>
      <c r="D1054" s="24" t="s">
        <v>12</v>
      </c>
      <c r="E1054" s="48">
        <v>1.4</v>
      </c>
      <c r="F1054" s="48" t="s">
        <v>24</v>
      </c>
      <c r="G1054" s="56">
        <v>2.4</v>
      </c>
      <c r="H1054" s="56" t="s">
        <v>24</v>
      </c>
      <c r="I1054" s="56">
        <v>2</v>
      </c>
      <c r="J1054" s="56" t="s">
        <v>24</v>
      </c>
      <c r="K1054" s="25">
        <v>2</v>
      </c>
      <c r="L1054" s="32" t="s">
        <v>12</v>
      </c>
      <c r="M1054" s="49">
        <f>E1054*G1054*I1054*K1054</f>
        <v>13.44</v>
      </c>
      <c r="N1054" s="10" t="s">
        <v>25</v>
      </c>
      <c r="O1054" s="10"/>
      <c r="P1054" s="105"/>
      <c r="Q1054" s="6"/>
    </row>
    <row r="1055" spans="1:17" s="7" customFormat="1" ht="66" customHeight="1" x14ac:dyDescent="0.25">
      <c r="A1055" s="8"/>
      <c r="B1055" s="104"/>
      <c r="C1055" s="22" t="s">
        <v>101</v>
      </c>
      <c r="D1055" s="24" t="s">
        <v>12</v>
      </c>
      <c r="E1055" s="48">
        <v>1.4</v>
      </c>
      <c r="F1055" s="48" t="s">
        <v>24</v>
      </c>
      <c r="G1055" s="56">
        <v>2.4</v>
      </c>
      <c r="H1055" s="56" t="s">
        <v>24</v>
      </c>
      <c r="I1055" s="56">
        <v>2</v>
      </c>
      <c r="J1055" s="56" t="s">
        <v>24</v>
      </c>
      <c r="K1055" s="25">
        <v>2</v>
      </c>
      <c r="L1055" s="32" t="s">
        <v>12</v>
      </c>
      <c r="M1055" s="49">
        <f>E1055*G1055*I1055*K1055</f>
        <v>13.44</v>
      </c>
      <c r="N1055" s="10" t="s">
        <v>25</v>
      </c>
      <c r="O1055" s="10"/>
      <c r="P1055" s="105"/>
      <c r="Q1055" s="6"/>
    </row>
    <row r="1056" spans="1:17" s="7" customFormat="1" ht="66" customHeight="1" x14ac:dyDescent="0.25">
      <c r="A1056" s="8"/>
      <c r="B1056" s="104"/>
      <c r="C1056" s="22"/>
      <c r="D1056" s="24"/>
      <c r="E1056" s="48"/>
      <c r="F1056" s="48"/>
      <c r="G1056" s="56"/>
      <c r="H1056" s="56"/>
      <c r="I1056" s="56"/>
      <c r="J1056" s="56"/>
      <c r="K1056" s="25"/>
      <c r="L1056" s="32"/>
      <c r="M1056" s="49"/>
      <c r="N1056" s="10"/>
      <c r="O1056" s="10"/>
      <c r="P1056" s="105"/>
      <c r="Q1056" s="6"/>
    </row>
    <row r="1057" spans="1:17" s="7" customFormat="1" ht="66" customHeight="1" x14ac:dyDescent="0.25">
      <c r="A1057" s="8"/>
      <c r="B1057" s="104"/>
      <c r="C1057" s="22" t="s">
        <v>322</v>
      </c>
      <c r="D1057" s="24"/>
      <c r="E1057" s="48"/>
      <c r="F1057" s="48"/>
      <c r="G1057" s="56"/>
      <c r="H1057" s="56"/>
      <c r="I1057" s="56"/>
      <c r="J1057" s="56"/>
      <c r="K1057" s="25"/>
      <c r="L1057" s="32"/>
      <c r="M1057" s="49"/>
      <c r="N1057" s="10"/>
      <c r="O1057" s="10"/>
      <c r="P1057" s="105"/>
      <c r="Q1057" s="6"/>
    </row>
    <row r="1058" spans="1:17" s="7" customFormat="1" ht="66" customHeight="1" x14ac:dyDescent="0.25">
      <c r="A1058" s="8"/>
      <c r="B1058" s="104"/>
      <c r="C1058" s="22"/>
      <c r="D1058" s="24"/>
      <c r="E1058" s="48"/>
      <c r="F1058" s="48"/>
      <c r="G1058" s="56"/>
      <c r="H1058" s="56"/>
      <c r="I1058" s="56"/>
      <c r="J1058" s="56"/>
      <c r="K1058" s="25"/>
      <c r="L1058" s="32"/>
      <c r="M1058" s="49"/>
      <c r="N1058" s="10"/>
      <c r="O1058" s="10"/>
      <c r="P1058" s="105"/>
      <c r="Q1058" s="6"/>
    </row>
    <row r="1059" spans="1:17" s="7" customFormat="1" ht="66" customHeight="1" x14ac:dyDescent="0.25">
      <c r="A1059" s="8"/>
      <c r="B1059" s="104"/>
      <c r="C1059" s="22" t="s">
        <v>174</v>
      </c>
      <c r="D1059" s="24" t="s">
        <v>12</v>
      </c>
      <c r="E1059" s="48">
        <v>0.8</v>
      </c>
      <c r="F1059" s="48" t="s">
        <v>24</v>
      </c>
      <c r="G1059" s="56">
        <v>2.1</v>
      </c>
      <c r="H1059" s="56" t="s">
        <v>24</v>
      </c>
      <c r="I1059" s="56">
        <v>1</v>
      </c>
      <c r="J1059" s="56" t="s">
        <v>24</v>
      </c>
      <c r="K1059" s="25">
        <v>2</v>
      </c>
      <c r="L1059" s="32" t="s">
        <v>12</v>
      </c>
      <c r="M1059" s="49">
        <f>E1059*G1059*I1059*K1059</f>
        <v>3.3600000000000003</v>
      </c>
      <c r="N1059" s="10" t="s">
        <v>25</v>
      </c>
      <c r="O1059" s="10"/>
      <c r="P1059" s="105"/>
      <c r="Q1059" s="6"/>
    </row>
    <row r="1060" spans="1:17" s="7" customFormat="1" ht="66" customHeight="1" x14ac:dyDescent="0.25">
      <c r="A1060" s="8"/>
      <c r="B1060" s="104"/>
      <c r="C1060" s="22" t="s">
        <v>323</v>
      </c>
      <c r="D1060" s="24" t="s">
        <v>12</v>
      </c>
      <c r="E1060" s="48">
        <v>0.7</v>
      </c>
      <c r="F1060" s="48" t="s">
        <v>24</v>
      </c>
      <c r="G1060" s="56">
        <v>0.4</v>
      </c>
      <c r="H1060" s="56" t="s">
        <v>24</v>
      </c>
      <c r="I1060" s="56">
        <v>6</v>
      </c>
      <c r="J1060" s="56" t="s">
        <v>24</v>
      </c>
      <c r="K1060" s="25">
        <v>2</v>
      </c>
      <c r="L1060" s="32" t="s">
        <v>12</v>
      </c>
      <c r="M1060" s="49">
        <f>E1060*G1060*I1060*K1060</f>
        <v>3.3599999999999994</v>
      </c>
      <c r="N1060" s="10" t="s">
        <v>25</v>
      </c>
      <c r="O1060" s="10"/>
      <c r="P1060" s="105"/>
      <c r="Q1060" s="6"/>
    </row>
    <row r="1061" spans="1:17" s="7" customFormat="1" ht="66" customHeight="1" x14ac:dyDescent="0.25">
      <c r="A1061" s="8"/>
      <c r="B1061" s="104"/>
      <c r="C1061" s="22" t="s">
        <v>324</v>
      </c>
      <c r="D1061" s="24" t="s">
        <v>12</v>
      </c>
      <c r="E1061" s="48">
        <v>0.7</v>
      </c>
      <c r="F1061" s="48" t="s">
        <v>24</v>
      </c>
      <c r="G1061" s="56">
        <v>0.4</v>
      </c>
      <c r="H1061" s="56" t="s">
        <v>24</v>
      </c>
      <c r="I1061" s="56">
        <v>1</v>
      </c>
      <c r="J1061" s="56" t="s">
        <v>24</v>
      </c>
      <c r="K1061" s="25">
        <v>2</v>
      </c>
      <c r="L1061" s="32" t="s">
        <v>12</v>
      </c>
      <c r="M1061" s="49">
        <f t="shared" ref="M1061:M1066" si="19">E1061*G1061*I1061*K1061</f>
        <v>0.55999999999999994</v>
      </c>
      <c r="N1061" s="10" t="s">
        <v>25</v>
      </c>
      <c r="O1061" s="10"/>
      <c r="P1061" s="105"/>
      <c r="Q1061" s="6"/>
    </row>
    <row r="1062" spans="1:17" s="7" customFormat="1" ht="66" customHeight="1" x14ac:dyDescent="0.25">
      <c r="A1062" s="8"/>
      <c r="B1062" s="104"/>
      <c r="C1062" s="22" t="s">
        <v>325</v>
      </c>
      <c r="D1062" s="24" t="s">
        <v>12</v>
      </c>
      <c r="E1062" s="48">
        <v>0.7</v>
      </c>
      <c r="F1062" s="48" t="s">
        <v>24</v>
      </c>
      <c r="G1062" s="56">
        <v>0.4</v>
      </c>
      <c r="H1062" s="56" t="s">
        <v>24</v>
      </c>
      <c r="I1062" s="56">
        <v>1</v>
      </c>
      <c r="J1062" s="56" t="s">
        <v>24</v>
      </c>
      <c r="K1062" s="25">
        <v>2</v>
      </c>
      <c r="L1062" s="32" t="s">
        <v>12</v>
      </c>
      <c r="M1062" s="49">
        <f>E1062*G1062*I1062*K1062</f>
        <v>0.55999999999999994</v>
      </c>
      <c r="N1062" s="10" t="s">
        <v>25</v>
      </c>
      <c r="O1062" s="10"/>
      <c r="P1062" s="105"/>
      <c r="Q1062" s="6"/>
    </row>
    <row r="1063" spans="1:17" s="7" customFormat="1" ht="66" customHeight="1" x14ac:dyDescent="0.25">
      <c r="A1063" s="8"/>
      <c r="B1063" s="104"/>
      <c r="C1063" s="22" t="s">
        <v>326</v>
      </c>
      <c r="D1063" s="24" t="s">
        <v>12</v>
      </c>
      <c r="E1063" s="48">
        <v>0.8</v>
      </c>
      <c r="F1063" s="48" t="s">
        <v>24</v>
      </c>
      <c r="G1063" s="56">
        <v>0.3</v>
      </c>
      <c r="H1063" s="56" t="s">
        <v>24</v>
      </c>
      <c r="I1063" s="56">
        <v>1</v>
      </c>
      <c r="J1063" s="56" t="s">
        <v>24</v>
      </c>
      <c r="K1063" s="25">
        <v>2</v>
      </c>
      <c r="L1063" s="32" t="s">
        <v>12</v>
      </c>
      <c r="M1063" s="49">
        <f t="shared" si="19"/>
        <v>0.48</v>
      </c>
      <c r="N1063" s="10" t="s">
        <v>25</v>
      </c>
      <c r="O1063" s="10"/>
      <c r="P1063" s="105"/>
      <c r="Q1063" s="6"/>
    </row>
    <row r="1064" spans="1:17" s="7" customFormat="1" ht="66" customHeight="1" x14ac:dyDescent="0.25">
      <c r="A1064" s="8"/>
      <c r="B1064" s="104"/>
      <c r="C1064" s="22" t="s">
        <v>327</v>
      </c>
      <c r="D1064" s="24" t="s">
        <v>12</v>
      </c>
      <c r="E1064" s="48">
        <v>0.75</v>
      </c>
      <c r="F1064" s="48" t="s">
        <v>24</v>
      </c>
      <c r="G1064" s="56">
        <v>0.75</v>
      </c>
      <c r="H1064" s="56" t="s">
        <v>24</v>
      </c>
      <c r="I1064" s="56">
        <v>1</v>
      </c>
      <c r="J1064" s="56" t="s">
        <v>24</v>
      </c>
      <c r="K1064" s="25">
        <v>2</v>
      </c>
      <c r="L1064" s="32" t="s">
        <v>12</v>
      </c>
      <c r="M1064" s="49">
        <f t="shared" si="19"/>
        <v>1.125</v>
      </c>
      <c r="N1064" s="10" t="s">
        <v>25</v>
      </c>
      <c r="O1064" s="10"/>
      <c r="P1064" s="105"/>
      <c r="Q1064" s="6"/>
    </row>
    <row r="1065" spans="1:17" s="7" customFormat="1" ht="66" customHeight="1" x14ac:dyDescent="0.25">
      <c r="A1065" s="8"/>
      <c r="B1065" s="104"/>
      <c r="C1065" s="22" t="s">
        <v>328</v>
      </c>
      <c r="D1065" s="24" t="s">
        <v>12</v>
      </c>
      <c r="E1065" s="48">
        <v>0.8</v>
      </c>
      <c r="F1065" s="48" t="s">
        <v>24</v>
      </c>
      <c r="G1065" s="56">
        <v>0.3</v>
      </c>
      <c r="H1065" s="56" t="s">
        <v>24</v>
      </c>
      <c r="I1065" s="56">
        <v>1</v>
      </c>
      <c r="J1065" s="56" t="s">
        <v>24</v>
      </c>
      <c r="K1065" s="25">
        <v>2</v>
      </c>
      <c r="L1065" s="32" t="s">
        <v>12</v>
      </c>
      <c r="M1065" s="49">
        <f t="shared" si="19"/>
        <v>0.48</v>
      </c>
      <c r="N1065" s="10" t="s">
        <v>25</v>
      </c>
      <c r="O1065" s="10"/>
      <c r="P1065" s="105"/>
      <c r="Q1065" s="6"/>
    </row>
    <row r="1066" spans="1:17" s="7" customFormat="1" ht="66" customHeight="1" x14ac:dyDescent="0.25">
      <c r="A1066" s="8"/>
      <c r="B1066" s="104"/>
      <c r="C1066" s="22" t="s">
        <v>329</v>
      </c>
      <c r="D1066" s="24" t="s">
        <v>12</v>
      </c>
      <c r="E1066" s="48">
        <v>0.7</v>
      </c>
      <c r="F1066" s="48" t="s">
        <v>24</v>
      </c>
      <c r="G1066" s="56">
        <v>0.3</v>
      </c>
      <c r="H1066" s="56" t="s">
        <v>24</v>
      </c>
      <c r="I1066" s="56">
        <v>2</v>
      </c>
      <c r="J1066" s="56" t="s">
        <v>24</v>
      </c>
      <c r="K1066" s="25">
        <v>2</v>
      </c>
      <c r="L1066" s="32" t="s">
        <v>12</v>
      </c>
      <c r="M1066" s="49">
        <f t="shared" si="19"/>
        <v>0.84</v>
      </c>
      <c r="N1066" s="10" t="s">
        <v>25</v>
      </c>
      <c r="O1066" s="10"/>
      <c r="P1066" s="105"/>
      <c r="Q1066" s="6"/>
    </row>
    <row r="1067" spans="1:17" s="7" customFormat="1" ht="66" customHeight="1" x14ac:dyDescent="0.25">
      <c r="A1067" s="8"/>
      <c r="B1067" s="104"/>
      <c r="C1067" s="22"/>
      <c r="D1067" s="24"/>
      <c r="E1067" s="48"/>
      <c r="F1067" s="48"/>
      <c r="G1067" s="56"/>
      <c r="H1067" s="56"/>
      <c r="I1067" s="56"/>
      <c r="J1067" s="56"/>
      <c r="K1067" s="25"/>
      <c r="L1067" s="32"/>
      <c r="M1067" s="49"/>
      <c r="N1067" s="10"/>
      <c r="O1067" s="10"/>
      <c r="P1067" s="105"/>
      <c r="Q1067" s="6"/>
    </row>
    <row r="1068" spans="1:17" s="7" customFormat="1" ht="66" customHeight="1" x14ac:dyDescent="0.25">
      <c r="A1068" s="8"/>
      <c r="B1068" s="104"/>
      <c r="C1068" s="22" t="s">
        <v>330</v>
      </c>
      <c r="D1068" s="24"/>
      <c r="E1068" s="48"/>
      <c r="F1068" s="48"/>
      <c r="G1068" s="56"/>
      <c r="H1068" s="56"/>
      <c r="I1068" s="56"/>
      <c r="J1068" s="56"/>
      <c r="K1068" s="25"/>
      <c r="L1068" s="32"/>
      <c r="M1068" s="49"/>
      <c r="N1068" s="10"/>
      <c r="O1068" s="10"/>
      <c r="P1068" s="105"/>
      <c r="Q1068" s="6"/>
    </row>
    <row r="1069" spans="1:17" s="7" customFormat="1" ht="66" customHeight="1" x14ac:dyDescent="0.25">
      <c r="A1069" s="8"/>
      <c r="B1069" s="104"/>
      <c r="C1069" s="22"/>
      <c r="D1069" s="24"/>
      <c r="E1069" s="48"/>
      <c r="F1069" s="48"/>
      <c r="G1069" s="56"/>
      <c r="H1069" s="56"/>
      <c r="I1069" s="56"/>
      <c r="J1069" s="56"/>
      <c r="K1069" s="25"/>
      <c r="L1069" s="32"/>
      <c r="M1069" s="49"/>
      <c r="N1069" s="10"/>
      <c r="O1069" s="10"/>
      <c r="P1069" s="105"/>
      <c r="Q1069" s="6"/>
    </row>
    <row r="1070" spans="1:17" s="7" customFormat="1" ht="66" customHeight="1" x14ac:dyDescent="0.25">
      <c r="A1070" s="8"/>
      <c r="B1070" s="104"/>
      <c r="C1070" s="22" t="s">
        <v>331</v>
      </c>
      <c r="D1070" s="24" t="s">
        <v>12</v>
      </c>
      <c r="E1070" s="48">
        <v>2.1</v>
      </c>
      <c r="F1070" s="48" t="s">
        <v>24</v>
      </c>
      <c r="G1070" s="56">
        <v>3</v>
      </c>
      <c r="H1070" s="56" t="s">
        <v>24</v>
      </c>
      <c r="I1070" s="56">
        <v>1</v>
      </c>
      <c r="J1070" s="56" t="s">
        <v>24</v>
      </c>
      <c r="K1070" s="25">
        <v>2</v>
      </c>
      <c r="L1070" s="32" t="s">
        <v>12</v>
      </c>
      <c r="M1070" s="49">
        <f>E1070*G1070*I1070*K1070</f>
        <v>12.600000000000001</v>
      </c>
      <c r="N1070" s="10" t="s">
        <v>25</v>
      </c>
      <c r="O1070" s="10"/>
      <c r="P1070" s="105"/>
      <c r="Q1070" s="6"/>
    </row>
    <row r="1071" spans="1:17" s="7" customFormat="1" ht="66" customHeight="1" x14ac:dyDescent="0.25">
      <c r="A1071" s="8"/>
      <c r="B1071" s="104"/>
      <c r="C1071" s="22"/>
      <c r="D1071" s="24"/>
      <c r="E1071" s="48"/>
      <c r="F1071" s="48"/>
      <c r="G1071" s="56"/>
      <c r="H1071" s="56"/>
      <c r="I1071" s="56"/>
      <c r="J1071" s="56"/>
      <c r="K1071" s="25"/>
      <c r="L1071" s="32"/>
      <c r="M1071" s="49"/>
      <c r="N1071" s="10"/>
      <c r="O1071" s="10"/>
      <c r="P1071" s="105"/>
      <c r="Q1071" s="6"/>
    </row>
    <row r="1072" spans="1:17" s="7" customFormat="1" ht="66" customHeight="1" x14ac:dyDescent="0.25">
      <c r="A1072" s="8"/>
      <c r="B1072" s="104"/>
      <c r="C1072" s="22"/>
      <c r="D1072" s="24"/>
      <c r="E1072" s="48"/>
      <c r="F1072" s="48"/>
      <c r="G1072" s="56"/>
      <c r="H1072" s="56"/>
      <c r="I1072" s="56"/>
      <c r="J1072" s="56"/>
      <c r="K1072" s="25" t="s">
        <v>48</v>
      </c>
      <c r="L1072" s="32" t="s">
        <v>12</v>
      </c>
      <c r="M1072" s="49">
        <f>SUM(M990:M1070)</f>
        <v>615.03500000000042</v>
      </c>
      <c r="N1072" s="10" t="s">
        <v>25</v>
      </c>
      <c r="O1072" s="10"/>
      <c r="P1072" s="105"/>
      <c r="Q1072" s="6"/>
    </row>
    <row r="1073" spans="1:17" s="7" customFormat="1" ht="66" customHeight="1" x14ac:dyDescent="0.25">
      <c r="A1073" s="8"/>
      <c r="B1073" s="104"/>
      <c r="C1073" s="22"/>
      <c r="D1073" s="24"/>
      <c r="E1073" s="48"/>
      <c r="F1073" s="48"/>
      <c r="G1073" s="56"/>
      <c r="H1073" s="56"/>
      <c r="I1073" s="56"/>
      <c r="J1073" s="56"/>
      <c r="K1073" s="25"/>
      <c r="L1073" s="32"/>
      <c r="M1073" s="10"/>
      <c r="N1073" s="10"/>
      <c r="O1073" s="10"/>
      <c r="P1073" s="105"/>
      <c r="Q1073" s="6"/>
    </row>
    <row r="1074" spans="1:17" s="7" customFormat="1" ht="66" customHeight="1" x14ac:dyDescent="0.25">
      <c r="A1074" s="8"/>
      <c r="B1074" s="104"/>
      <c r="C1074" s="22"/>
      <c r="D1074" s="24"/>
      <c r="E1074" s="48" t="s">
        <v>57</v>
      </c>
      <c r="F1074" s="48"/>
      <c r="G1074" s="56" t="s">
        <v>111</v>
      </c>
      <c r="H1074" s="56"/>
      <c r="I1074" s="56"/>
      <c r="J1074" s="56"/>
      <c r="K1074" s="25"/>
      <c r="L1074" s="32"/>
      <c r="M1074" s="10"/>
      <c r="N1074" s="10"/>
      <c r="O1074" s="10"/>
      <c r="P1074" s="105"/>
      <c r="Q1074" s="6"/>
    </row>
    <row r="1075" spans="1:17" s="7" customFormat="1" ht="66" customHeight="1" x14ac:dyDescent="0.25">
      <c r="A1075" s="8"/>
      <c r="B1075" s="104"/>
      <c r="C1075" s="22"/>
      <c r="D1075" s="24"/>
      <c r="E1075" s="48"/>
      <c r="F1075" s="48"/>
      <c r="G1075" s="56"/>
      <c r="H1075" s="56"/>
      <c r="I1075" s="56"/>
      <c r="J1075" s="56"/>
      <c r="K1075" s="25"/>
      <c r="L1075" s="32"/>
      <c r="M1075" s="10"/>
      <c r="N1075" s="10"/>
      <c r="O1075" s="10"/>
      <c r="P1075" s="105"/>
      <c r="Q1075" s="6"/>
    </row>
    <row r="1076" spans="1:17" s="7" customFormat="1" ht="66" customHeight="1" x14ac:dyDescent="0.25">
      <c r="A1076" s="8"/>
      <c r="B1076" s="104"/>
      <c r="C1076" s="22" t="s">
        <v>48</v>
      </c>
      <c r="D1076" s="24" t="s">
        <v>12</v>
      </c>
      <c r="E1076" s="48">
        <f>M984</f>
        <v>5070.4179999999988</v>
      </c>
      <c r="F1076" s="48" t="s">
        <v>121</v>
      </c>
      <c r="G1076" s="56">
        <f>M1072</f>
        <v>615.03500000000042</v>
      </c>
      <c r="H1076" s="56" t="s">
        <v>12</v>
      </c>
      <c r="I1076" s="107">
        <f>E1076-G1076</f>
        <v>4455.382999999998</v>
      </c>
      <c r="J1076" s="108" t="s">
        <v>25</v>
      </c>
      <c r="K1076" s="25"/>
      <c r="L1076" s="32"/>
      <c r="M1076" s="10"/>
      <c r="N1076" s="10"/>
      <c r="O1076" s="10"/>
      <c r="P1076" s="105"/>
      <c r="Q1076" s="6"/>
    </row>
    <row r="1077" spans="1:17" s="7" customFormat="1" ht="66" customHeight="1" x14ac:dyDescent="0.25">
      <c r="A1077" s="8"/>
      <c r="B1077" s="9"/>
      <c r="C1077" s="99"/>
      <c r="D1077" s="96"/>
      <c r="E1077" s="100"/>
      <c r="F1077" s="96"/>
      <c r="L1077" s="10"/>
      <c r="P1077" s="11"/>
      <c r="Q1077" s="6"/>
    </row>
    <row r="1078" spans="1:17" s="7" customFormat="1" ht="66" customHeight="1" x14ac:dyDescent="0.25">
      <c r="A1078" s="8"/>
      <c r="B1078" s="18" t="s">
        <v>332</v>
      </c>
      <c r="C1078" s="19" t="str">
        <f>VLOOKUP($B1078,[1]ORÇ_ANALITICO!$A$10:$K$137,2,0)</f>
        <v>17.013.0030-0</v>
      </c>
      <c r="D1078" s="157" t="str">
        <f>VLOOKUP($C1078,[1]ORÇ_ANALITICO!$B$10:$L$137,4,0)</f>
        <v>PINTURA INTERNA OU EXTERNA SOBRE CONCRETO LISO OU REVESTIMENTO,COM TINTA AQUOSA A BASE DE EPOXI INCOLOR OU EM CORES,INCLUSIVE LIMPEZA,E DUAS DEMAOS DE ACABAMENTO</v>
      </c>
      <c r="E1078" s="157" t="e">
        <f>VLOOKUP(D1078,[1]ORÇ_ANALITICO!C932:M1031,2,0)</f>
        <v>#N/A</v>
      </c>
      <c r="F1078" s="157" t="e">
        <f>VLOOKUP(E1078,[1]ORÇ_ANALITICO!E932:N1031,2,0)</f>
        <v>#N/A</v>
      </c>
      <c r="G1078" s="157" t="e">
        <f>VLOOKUP(F1078,[1]ORÇ_ANALITICO!F932:O1031,2,0)</f>
        <v>#N/A</v>
      </c>
      <c r="H1078" s="157" t="e">
        <f>VLOOKUP(G1078,[1]ORÇ_ANALITICO!G932:P1031,2,0)</f>
        <v>#N/A</v>
      </c>
      <c r="I1078" s="157" t="e">
        <f>VLOOKUP(H1078,[1]ORÇ_ANALITICO!H932:Q1031,2,0)</f>
        <v>#N/A</v>
      </c>
      <c r="J1078" s="157" t="e">
        <f>VLOOKUP(I1078,[1]ORÇ_ANALITICO!I932:R1031,2,0)</f>
        <v>#N/A</v>
      </c>
      <c r="K1078" s="157" t="e">
        <f>VLOOKUP(J1078,[1]ORÇ_ANALITICO!J932:S1031,2,0)</f>
        <v>#N/A</v>
      </c>
      <c r="L1078" s="157" t="e">
        <f>VLOOKUP(K1078,[1]ORÇ_ANALITICO!K932:T1031,2,0)</f>
        <v>#N/A</v>
      </c>
      <c r="M1078" s="157" t="e">
        <f>VLOOKUP(L1078,[1]ORÇ_ANALITICO!L932:U1031,2,0)</f>
        <v>#N/A</v>
      </c>
      <c r="N1078" s="157" t="e">
        <f>VLOOKUP(M1078,[1]ORÇ_ANALITICO!M932:V1031,2,0)</f>
        <v>#N/A</v>
      </c>
      <c r="O1078" s="20" t="str">
        <f>VLOOKUP($C1078,[1]ORÇ_ANALITICO!$B$10:$L$137,5,0)</f>
        <v>M2</v>
      </c>
      <c r="P1078" s="20">
        <f>K1086</f>
        <v>86.64</v>
      </c>
      <c r="Q1078" s="6"/>
    </row>
    <row r="1079" spans="1:17" s="7" customFormat="1" ht="66" customHeight="1" x14ac:dyDescent="0.25">
      <c r="A1079" s="8"/>
      <c r="B1079" s="9"/>
      <c r="C1079" s="10"/>
      <c r="L1079" s="10"/>
      <c r="P1079" s="11"/>
      <c r="Q1079" s="6"/>
    </row>
    <row r="1080" spans="1:17" s="7" customFormat="1" ht="66" customHeight="1" x14ac:dyDescent="0.25">
      <c r="A1080" s="8"/>
      <c r="B1080" s="109"/>
      <c r="C1080" s="22"/>
      <c r="D1080" s="24"/>
      <c r="E1080" s="48" t="s">
        <v>147</v>
      </c>
      <c r="F1080" s="110"/>
      <c r="G1080" s="91" t="s">
        <v>333</v>
      </c>
      <c r="H1080" s="48"/>
      <c r="I1080" s="32" t="s">
        <v>75</v>
      </c>
      <c r="J1080" s="32"/>
      <c r="K1080" s="32"/>
      <c r="L1080" s="32"/>
      <c r="M1080" s="110"/>
      <c r="N1080" s="110"/>
      <c r="O1080" s="110"/>
      <c r="P1080" s="111"/>
      <c r="Q1080" s="6"/>
    </row>
    <row r="1081" spans="1:17" s="7" customFormat="1" ht="66" customHeight="1" x14ac:dyDescent="0.25">
      <c r="A1081" s="8"/>
      <c r="B1081" s="9"/>
      <c r="C1081" s="22"/>
      <c r="D1081" s="24"/>
      <c r="H1081" s="48"/>
      <c r="I1081" s="10"/>
      <c r="J1081" s="10"/>
      <c r="K1081" s="10"/>
      <c r="L1081" s="10"/>
      <c r="P1081" s="11"/>
      <c r="Q1081" s="6"/>
    </row>
    <row r="1082" spans="1:17" s="7" customFormat="1" ht="66" customHeight="1" x14ac:dyDescent="0.25">
      <c r="A1082" s="8"/>
      <c r="B1082" s="9"/>
      <c r="C1082" s="22" t="s">
        <v>334</v>
      </c>
      <c r="D1082" s="24"/>
      <c r="E1082" s="48">
        <v>25.9</v>
      </c>
      <c r="F1082" s="48" t="s">
        <v>24</v>
      </c>
      <c r="G1082" s="56">
        <v>2</v>
      </c>
      <c r="H1082" s="48" t="s">
        <v>24</v>
      </c>
      <c r="I1082" s="48">
        <v>1</v>
      </c>
      <c r="J1082" s="10" t="s">
        <v>12</v>
      </c>
      <c r="K1082" s="48">
        <f>E1082*G1082*I1082</f>
        <v>51.8</v>
      </c>
      <c r="L1082" s="10" t="s">
        <v>25</v>
      </c>
      <c r="P1082" s="11"/>
      <c r="Q1082" s="6"/>
    </row>
    <row r="1083" spans="1:17" s="7" customFormat="1" ht="66" customHeight="1" x14ac:dyDescent="0.25">
      <c r="A1083" s="8"/>
      <c r="B1083" s="9"/>
      <c r="C1083" s="22" t="s">
        <v>335</v>
      </c>
      <c r="D1083" s="24" t="s">
        <v>12</v>
      </c>
      <c r="E1083" s="55">
        <v>4.0999999999999996</v>
      </c>
      <c r="F1083" s="48" t="s">
        <v>24</v>
      </c>
      <c r="G1083" s="56">
        <f>2.9/2</f>
        <v>1.45</v>
      </c>
      <c r="H1083" s="48" t="s">
        <v>24</v>
      </c>
      <c r="I1083" s="48">
        <v>2</v>
      </c>
      <c r="J1083" s="10" t="s">
        <v>12</v>
      </c>
      <c r="K1083" s="48">
        <f>E1083*G1083*I1083</f>
        <v>11.889999999999999</v>
      </c>
      <c r="L1083" s="10" t="s">
        <v>25</v>
      </c>
      <c r="P1083" s="11"/>
      <c r="Q1083" s="6"/>
    </row>
    <row r="1084" spans="1:17" s="7" customFormat="1" ht="66" customHeight="1" x14ac:dyDescent="0.25">
      <c r="A1084" s="8"/>
      <c r="B1084" s="9"/>
      <c r="C1084" s="22" t="s">
        <v>171</v>
      </c>
      <c r="D1084" s="24" t="s">
        <v>12</v>
      </c>
      <c r="E1084" s="48">
        <v>17</v>
      </c>
      <c r="F1084" s="48" t="s">
        <v>24</v>
      </c>
      <c r="G1084" s="56">
        <v>1.35</v>
      </c>
      <c r="H1084" s="48" t="s">
        <v>24</v>
      </c>
      <c r="I1084" s="48">
        <v>1</v>
      </c>
      <c r="J1084" s="10" t="s">
        <v>12</v>
      </c>
      <c r="K1084" s="48">
        <f>E1084*G1084*I1084</f>
        <v>22.950000000000003</v>
      </c>
      <c r="L1084" s="10" t="s">
        <v>25</v>
      </c>
      <c r="P1084" s="11"/>
      <c r="Q1084" s="6"/>
    </row>
    <row r="1085" spans="1:17" s="7" customFormat="1" ht="66" customHeight="1" x14ac:dyDescent="0.25">
      <c r="A1085" s="8"/>
      <c r="B1085" s="9"/>
      <c r="C1085" s="22"/>
      <c r="D1085" s="24"/>
      <c r="E1085" s="48"/>
      <c r="H1085" s="48"/>
      <c r="I1085" s="10"/>
      <c r="J1085" s="10"/>
      <c r="K1085" s="10"/>
      <c r="L1085" s="10"/>
      <c r="P1085" s="11"/>
      <c r="Q1085" s="6"/>
    </row>
    <row r="1086" spans="1:17" s="7" customFormat="1" ht="66" customHeight="1" x14ac:dyDescent="0.25">
      <c r="A1086" s="8"/>
      <c r="B1086" s="9"/>
      <c r="C1086" s="22"/>
      <c r="D1086" s="24"/>
      <c r="E1086" s="48"/>
      <c r="H1086" s="48"/>
      <c r="I1086" s="96" t="s">
        <v>48</v>
      </c>
      <c r="J1086" s="96" t="s">
        <v>12</v>
      </c>
      <c r="K1086" s="96">
        <f>SUM(K1082:K1084)</f>
        <v>86.64</v>
      </c>
      <c r="L1086" s="96" t="s">
        <v>25</v>
      </c>
      <c r="P1086" s="11"/>
      <c r="Q1086" s="6"/>
    </row>
    <row r="1087" spans="1:17" s="7" customFormat="1" ht="66" customHeight="1" x14ac:dyDescent="0.25">
      <c r="A1087" s="8"/>
      <c r="B1087" s="9"/>
      <c r="C1087" s="10"/>
      <c r="L1087" s="10"/>
      <c r="P1087" s="11"/>
      <c r="Q1087" s="6"/>
    </row>
    <row r="1088" spans="1:17" s="7" customFormat="1" ht="66" customHeight="1" x14ac:dyDescent="0.25">
      <c r="A1088" s="8"/>
      <c r="B1088" s="18" t="s">
        <v>336</v>
      </c>
      <c r="C1088" s="19" t="str">
        <f>VLOOKUP($B1088,[1]ORÇ_ANALITICO!$A$10:$K$137,2,0)</f>
        <v>17.018.0190-0</v>
      </c>
      <c r="D1088" s="157" t="str">
        <f>VLOOKUP($C1088,[1]ORÇ_ANALITICO!$B$10:$L$137,4,0)</f>
        <v>PINTURA A BASE DE RESINA ACRILICA SOBRE AZULEJOS E PASTILHASEM AREAS INTERNAS E EXTERNAS,EM TRES DEMAOS</v>
      </c>
      <c r="E1088" s="157" t="e">
        <f>VLOOKUP(D1088,[1]ORÇ_ANALITICO!C942:M1041,2,0)</f>
        <v>#N/A</v>
      </c>
      <c r="F1088" s="157" t="e">
        <f>VLOOKUP(E1088,[1]ORÇ_ANALITICO!E942:N1041,2,0)</f>
        <v>#N/A</v>
      </c>
      <c r="G1088" s="157" t="e">
        <f>VLOOKUP(F1088,[1]ORÇ_ANALITICO!F942:O1041,2,0)</f>
        <v>#N/A</v>
      </c>
      <c r="H1088" s="157" t="e">
        <f>VLOOKUP(G1088,[1]ORÇ_ANALITICO!G942:P1041,2,0)</f>
        <v>#N/A</v>
      </c>
      <c r="I1088" s="157" t="e">
        <f>VLOOKUP(H1088,[1]ORÇ_ANALITICO!H942:Q1041,2,0)</f>
        <v>#N/A</v>
      </c>
      <c r="J1088" s="157" t="e">
        <f>VLOOKUP(I1088,[1]ORÇ_ANALITICO!I942:R1041,2,0)</f>
        <v>#N/A</v>
      </c>
      <c r="K1088" s="157" t="e">
        <f>VLOOKUP(J1088,[1]ORÇ_ANALITICO!J942:S1041,2,0)</f>
        <v>#N/A</v>
      </c>
      <c r="L1088" s="157" t="e">
        <f>VLOOKUP(K1088,[1]ORÇ_ANALITICO!K942:T1041,2,0)</f>
        <v>#N/A</v>
      </c>
      <c r="M1088" s="157" t="e">
        <f>VLOOKUP(L1088,[1]ORÇ_ANALITICO!L942:U1041,2,0)</f>
        <v>#N/A</v>
      </c>
      <c r="N1088" s="157" t="e">
        <f>VLOOKUP(M1088,[1]ORÇ_ANALITICO!M942:V1041,2,0)</f>
        <v>#N/A</v>
      </c>
      <c r="O1088" s="20" t="str">
        <f>VLOOKUP($C1088,[1]ORÇ_ANALITICO!$B$10:$L$137,5,0)</f>
        <v>M2</v>
      </c>
      <c r="P1088" s="20">
        <f>E1099</f>
        <v>144.08499999999998</v>
      </c>
      <c r="Q1088" s="6"/>
    </row>
    <row r="1089" spans="1:17" s="7" customFormat="1" ht="66" customHeight="1" x14ac:dyDescent="0.25">
      <c r="A1089" s="8"/>
      <c r="B1089" s="9"/>
      <c r="C1089" s="10"/>
      <c r="L1089" s="10"/>
      <c r="P1089" s="11"/>
      <c r="Q1089" s="6"/>
    </row>
    <row r="1090" spans="1:17" s="7" customFormat="1" ht="66" customHeight="1" x14ac:dyDescent="0.25">
      <c r="A1090" s="8"/>
      <c r="B1090" s="9"/>
      <c r="C1090" s="22"/>
      <c r="D1090" s="24"/>
      <c r="E1090" s="48" t="s">
        <v>57</v>
      </c>
      <c r="F1090" s="48"/>
      <c r="G1090" s="48"/>
      <c r="H1090" s="10"/>
      <c r="I1090" s="48"/>
      <c r="J1090" s="10"/>
      <c r="L1090" s="10"/>
      <c r="P1090" s="11"/>
      <c r="Q1090" s="6"/>
    </row>
    <row r="1091" spans="1:17" s="7" customFormat="1" ht="66" customHeight="1" x14ac:dyDescent="0.25">
      <c r="A1091" s="8"/>
      <c r="B1091" s="9"/>
      <c r="C1091" s="22"/>
      <c r="D1091" s="24"/>
      <c r="E1091" s="48"/>
      <c r="F1091" s="48"/>
      <c r="G1091" s="48"/>
      <c r="H1091" s="10"/>
      <c r="I1091" s="48"/>
      <c r="J1091" s="10"/>
      <c r="L1091" s="10"/>
      <c r="P1091" s="11"/>
      <c r="Q1091" s="6"/>
    </row>
    <row r="1092" spans="1:17" s="7" customFormat="1" ht="66" customHeight="1" x14ac:dyDescent="0.25">
      <c r="A1092" s="8"/>
      <c r="B1092" s="9"/>
      <c r="C1092" s="22" t="s">
        <v>337</v>
      </c>
      <c r="D1092" s="24" t="s">
        <v>12</v>
      </c>
      <c r="E1092" s="48">
        <f>1.35*0.7</f>
        <v>0.94499999999999995</v>
      </c>
      <c r="F1092" s="48" t="s">
        <v>25</v>
      </c>
      <c r="G1092" s="48"/>
      <c r="H1092" s="10"/>
      <c r="I1092" s="48"/>
      <c r="J1092" s="10"/>
      <c r="L1092" s="10"/>
      <c r="P1092" s="11"/>
      <c r="Q1092" s="6"/>
    </row>
    <row r="1093" spans="1:17" s="7" customFormat="1" ht="66" customHeight="1" x14ac:dyDescent="0.25">
      <c r="A1093" s="8"/>
      <c r="B1093" s="9"/>
      <c r="C1093" s="22" t="s">
        <v>306</v>
      </c>
      <c r="D1093" s="24" t="s">
        <v>12</v>
      </c>
      <c r="E1093" s="48">
        <v>16.61</v>
      </c>
      <c r="F1093" s="48" t="s">
        <v>25</v>
      </c>
      <c r="G1093" s="48"/>
      <c r="H1093" s="10"/>
      <c r="I1093" s="48"/>
      <c r="J1093" s="10"/>
      <c r="L1093" s="10"/>
      <c r="P1093" s="11"/>
      <c r="Q1093" s="6"/>
    </row>
    <row r="1094" spans="1:17" s="7" customFormat="1" ht="66" customHeight="1" x14ac:dyDescent="0.25">
      <c r="A1094" s="8"/>
      <c r="B1094" s="9"/>
      <c r="C1094" s="22" t="s">
        <v>130</v>
      </c>
      <c r="D1094" s="24" t="s">
        <v>12</v>
      </c>
      <c r="E1094" s="48">
        <v>56.86</v>
      </c>
      <c r="F1094" s="48" t="s">
        <v>25</v>
      </c>
      <c r="G1094" s="48"/>
      <c r="H1094" s="10"/>
      <c r="I1094" s="48"/>
      <c r="J1094" s="10"/>
      <c r="L1094" s="10"/>
      <c r="P1094" s="11"/>
      <c r="Q1094" s="6"/>
    </row>
    <row r="1095" spans="1:17" s="7" customFormat="1" ht="66" customHeight="1" x14ac:dyDescent="0.25">
      <c r="A1095" s="8"/>
      <c r="B1095" s="9"/>
      <c r="C1095" s="22" t="s">
        <v>161</v>
      </c>
      <c r="D1095" s="24" t="s">
        <v>12</v>
      </c>
      <c r="E1095" s="48">
        <v>7.62</v>
      </c>
      <c r="F1095" s="48" t="s">
        <v>25</v>
      </c>
      <c r="G1095" s="48"/>
      <c r="H1095" s="10"/>
      <c r="I1095" s="48"/>
      <c r="J1095" s="10"/>
      <c r="L1095" s="10"/>
      <c r="P1095" s="11"/>
      <c r="Q1095" s="6"/>
    </row>
    <row r="1096" spans="1:17" s="7" customFormat="1" ht="66" customHeight="1" x14ac:dyDescent="0.25">
      <c r="A1096" s="8"/>
      <c r="B1096" s="9"/>
      <c r="C1096" s="22" t="s">
        <v>338</v>
      </c>
      <c r="D1096" s="24" t="s">
        <v>12</v>
      </c>
      <c r="E1096" s="48">
        <v>3</v>
      </c>
      <c r="F1096" s="48" t="s">
        <v>25</v>
      </c>
      <c r="G1096" s="48"/>
      <c r="H1096" s="10"/>
      <c r="I1096" s="48"/>
      <c r="J1096" s="10"/>
      <c r="L1096" s="10"/>
      <c r="P1096" s="11"/>
      <c r="Q1096" s="6"/>
    </row>
    <row r="1097" spans="1:17" s="7" customFormat="1" ht="66" customHeight="1" x14ac:dyDescent="0.25">
      <c r="A1097" s="8"/>
      <c r="B1097" s="9"/>
      <c r="C1097" s="22" t="s">
        <v>63</v>
      </c>
      <c r="D1097" s="24" t="s">
        <v>12</v>
      </c>
      <c r="E1097" s="48">
        <v>59.05</v>
      </c>
      <c r="F1097" s="48" t="s">
        <v>25</v>
      </c>
      <c r="G1097" s="48"/>
      <c r="H1097" s="10"/>
      <c r="I1097" s="48"/>
      <c r="J1097" s="10"/>
      <c r="L1097" s="10"/>
      <c r="P1097" s="11"/>
      <c r="Q1097" s="6"/>
    </row>
    <row r="1098" spans="1:17" s="7" customFormat="1" ht="66" customHeight="1" x14ac:dyDescent="0.25">
      <c r="A1098" s="8"/>
      <c r="B1098" s="9"/>
      <c r="C1098" s="22"/>
      <c r="D1098" s="24"/>
      <c r="E1098" s="48"/>
      <c r="F1098" s="48"/>
      <c r="G1098" s="48"/>
      <c r="H1098" s="10"/>
      <c r="I1098" s="48"/>
      <c r="J1098" s="10"/>
      <c r="L1098" s="10"/>
      <c r="P1098" s="11"/>
      <c r="Q1098" s="6"/>
    </row>
    <row r="1099" spans="1:17" s="7" customFormat="1" ht="66" customHeight="1" x14ac:dyDescent="0.25">
      <c r="A1099" s="8"/>
      <c r="B1099" s="9"/>
      <c r="C1099" s="52" t="s">
        <v>48</v>
      </c>
      <c r="D1099" s="27" t="s">
        <v>12</v>
      </c>
      <c r="E1099" s="26">
        <f>SUM(E1092:E1097)</f>
        <v>144.08499999999998</v>
      </c>
      <c r="F1099" s="26" t="s">
        <v>25</v>
      </c>
      <c r="G1099" s="48"/>
      <c r="H1099" s="10"/>
      <c r="I1099" s="48"/>
      <c r="J1099" s="10"/>
      <c r="L1099" s="10"/>
      <c r="P1099" s="11"/>
      <c r="Q1099" s="6"/>
    </row>
    <row r="1100" spans="1:17" s="7" customFormat="1" ht="66" customHeight="1" x14ac:dyDescent="0.25">
      <c r="A1100" s="8"/>
      <c r="B1100" s="9"/>
      <c r="C1100" s="99"/>
      <c r="D1100" s="96"/>
      <c r="E1100" s="100"/>
      <c r="F1100" s="96"/>
      <c r="L1100" s="10"/>
      <c r="P1100" s="11"/>
      <c r="Q1100" s="6"/>
    </row>
    <row r="1101" spans="1:17" s="7" customFormat="1" ht="66" customHeight="1" x14ac:dyDescent="0.25">
      <c r="A1101" s="8"/>
      <c r="B1101" s="18" t="s">
        <v>339</v>
      </c>
      <c r="C1101" s="19" t="str">
        <f>VLOOKUP($B1101,[1]ORÇ_ANALITICO!$A$10:$K$137,2,0)</f>
        <v>17.017.0110-0</v>
      </c>
      <c r="D1101" s="157" t="str">
        <f>VLOOKUP($C1101,[1]ORÇ_ANALITICO!$B$10:$L$137,4,0)</f>
        <v>PINTURA INTERNA OU EXTERNA SOBRE MADEIRA,COM TINTA A OLEO BRILHANTE OU ACETINADA,LIXAMENTO,UMA DEMAO DE VERNIZ ISOLANTEINCOLOR,DUAS DEMAOS DE MASSA PARA MADEIRA,LIXAMENTO E REMOCAO DE PO,UMA DEMAO DE FUNDO SINTETICO NIVELADOR E DUAS DEMAOSDE ACABAMENTO</v>
      </c>
      <c r="E1101" s="157" t="e">
        <f>VLOOKUP(D1101,[1]ORÇ_ANALITICO!C955:M1054,2,0)</f>
        <v>#N/A</v>
      </c>
      <c r="F1101" s="157" t="e">
        <f>VLOOKUP(E1101,[1]ORÇ_ANALITICO!E955:N1054,2,0)</f>
        <v>#N/A</v>
      </c>
      <c r="G1101" s="157" t="e">
        <f>VLOOKUP(F1101,[1]ORÇ_ANALITICO!F955:O1054,2,0)</f>
        <v>#N/A</v>
      </c>
      <c r="H1101" s="157" t="e">
        <f>VLOOKUP(G1101,[1]ORÇ_ANALITICO!G955:P1054,2,0)</f>
        <v>#N/A</v>
      </c>
      <c r="I1101" s="157" t="e">
        <f>VLOOKUP(H1101,[1]ORÇ_ANALITICO!H955:Q1054,2,0)</f>
        <v>#N/A</v>
      </c>
      <c r="J1101" s="157" t="e">
        <f>VLOOKUP(I1101,[1]ORÇ_ANALITICO!I955:R1054,2,0)</f>
        <v>#N/A</v>
      </c>
      <c r="K1101" s="157" t="e">
        <f>VLOOKUP(J1101,[1]ORÇ_ANALITICO!J955:S1054,2,0)</f>
        <v>#N/A</v>
      </c>
      <c r="L1101" s="157" t="e">
        <f>VLOOKUP(K1101,[1]ORÇ_ANALITICO!K955:T1054,2,0)</f>
        <v>#N/A</v>
      </c>
      <c r="M1101" s="157" t="e">
        <f>VLOOKUP(L1101,[1]ORÇ_ANALITICO!L955:U1054,2,0)</f>
        <v>#N/A</v>
      </c>
      <c r="N1101" s="157" t="e">
        <f>VLOOKUP(M1101,[1]ORÇ_ANALITICO!M955:V1054,2,0)</f>
        <v>#N/A</v>
      </c>
      <c r="O1101" s="20" t="str">
        <f>VLOOKUP($C1101,[1]ORÇ_ANALITICO!$B$10:$L$137,5,0)</f>
        <v>M2</v>
      </c>
      <c r="P1101" s="20">
        <f>M1194</f>
        <v>1120.7400000000002</v>
      </c>
      <c r="Q1101" s="6"/>
    </row>
    <row r="1102" spans="1:17" s="7" customFormat="1" ht="66" customHeight="1" x14ac:dyDescent="0.25">
      <c r="A1102" s="8"/>
      <c r="B1102" s="9"/>
      <c r="C1102" s="10"/>
      <c r="L1102" s="10"/>
      <c r="P1102" s="11"/>
      <c r="Q1102" s="6"/>
    </row>
    <row r="1103" spans="1:17" s="7" customFormat="1" ht="66" customHeight="1" x14ac:dyDescent="0.25">
      <c r="A1103" s="8"/>
      <c r="B1103" s="9"/>
      <c r="C1103" s="22"/>
      <c r="D1103" s="24"/>
      <c r="E1103" s="48" t="s">
        <v>22</v>
      </c>
      <c r="F1103" s="48"/>
      <c r="G1103" s="48" t="s">
        <v>23</v>
      </c>
      <c r="H1103" s="10"/>
      <c r="I1103" s="48" t="s">
        <v>75</v>
      </c>
      <c r="J1103" s="10"/>
      <c r="K1103" s="10" t="s">
        <v>300</v>
      </c>
      <c r="L1103" s="10"/>
      <c r="P1103" s="11"/>
      <c r="Q1103" s="6"/>
    </row>
    <row r="1104" spans="1:17" s="7" customFormat="1" ht="66" customHeight="1" x14ac:dyDescent="0.25">
      <c r="A1104" s="8"/>
      <c r="B1104" s="9"/>
      <c r="C1104" s="22"/>
      <c r="D1104" s="24"/>
      <c r="E1104" s="48"/>
      <c r="F1104" s="48"/>
      <c r="G1104" s="48"/>
      <c r="H1104" s="10"/>
      <c r="I1104" s="48"/>
      <c r="J1104" s="10"/>
      <c r="L1104" s="10"/>
      <c r="P1104" s="11"/>
      <c r="Q1104" s="6"/>
    </row>
    <row r="1105" spans="1:17" s="7" customFormat="1" ht="66" customHeight="1" x14ac:dyDescent="0.25">
      <c r="A1105" s="8"/>
      <c r="B1105" s="9"/>
      <c r="C1105" s="22" t="s">
        <v>312</v>
      </c>
      <c r="D1105" s="24"/>
      <c r="E1105" s="48"/>
      <c r="F1105" s="48"/>
      <c r="G1105" s="56"/>
      <c r="H1105" s="56"/>
      <c r="I1105" s="56"/>
      <c r="J1105" s="56"/>
      <c r="K1105" s="25"/>
      <c r="L1105" s="32"/>
      <c r="M1105" s="49"/>
      <c r="N1105" s="10"/>
      <c r="P1105" s="11"/>
      <c r="Q1105" s="6"/>
    </row>
    <row r="1106" spans="1:17" s="7" customFormat="1" ht="66" customHeight="1" x14ac:dyDescent="0.25">
      <c r="A1106" s="8"/>
      <c r="B1106" s="9"/>
      <c r="C1106" s="22"/>
      <c r="D1106" s="24"/>
      <c r="E1106" s="48"/>
      <c r="F1106" s="48"/>
      <c r="G1106" s="56"/>
      <c r="H1106" s="56"/>
      <c r="I1106" s="56"/>
      <c r="J1106" s="56"/>
      <c r="K1106" s="25"/>
      <c r="L1106" s="32"/>
      <c r="M1106" s="49"/>
      <c r="N1106" s="10"/>
      <c r="P1106" s="11"/>
      <c r="Q1106" s="6"/>
    </row>
    <row r="1107" spans="1:17" s="7" customFormat="1" ht="66" customHeight="1" x14ac:dyDescent="0.25">
      <c r="A1107" s="8"/>
      <c r="B1107" s="9"/>
      <c r="C1107" s="22" t="s">
        <v>313</v>
      </c>
      <c r="D1107" s="24" t="s">
        <v>12</v>
      </c>
      <c r="E1107" s="48">
        <v>1.4</v>
      </c>
      <c r="F1107" s="48" t="s">
        <v>24</v>
      </c>
      <c r="G1107" s="56">
        <v>3.9</v>
      </c>
      <c r="H1107" s="56" t="s">
        <v>24</v>
      </c>
      <c r="I1107" s="56">
        <v>2</v>
      </c>
      <c r="J1107" s="56" t="s">
        <v>24</v>
      </c>
      <c r="K1107" s="25">
        <v>2</v>
      </c>
      <c r="L1107" s="32" t="s">
        <v>12</v>
      </c>
      <c r="M1107" s="49">
        <f>E1107*G1107*I1107*K1107</f>
        <v>21.84</v>
      </c>
      <c r="N1107" s="10" t="s">
        <v>25</v>
      </c>
      <c r="P1107" s="11"/>
      <c r="Q1107" s="6"/>
    </row>
    <row r="1108" spans="1:17" s="7" customFormat="1" ht="66" customHeight="1" x14ac:dyDescent="0.25">
      <c r="A1108" s="8"/>
      <c r="B1108" s="9"/>
      <c r="C1108" s="22" t="s">
        <v>184</v>
      </c>
      <c r="D1108" s="24" t="s">
        <v>12</v>
      </c>
      <c r="E1108" s="48">
        <v>1.1499999999999999</v>
      </c>
      <c r="F1108" s="48" t="s">
        <v>24</v>
      </c>
      <c r="G1108" s="56">
        <v>3.35</v>
      </c>
      <c r="H1108" s="56" t="s">
        <v>24</v>
      </c>
      <c r="I1108" s="56">
        <v>1</v>
      </c>
      <c r="J1108" s="56" t="s">
        <v>24</v>
      </c>
      <c r="K1108" s="25">
        <v>2</v>
      </c>
      <c r="L1108" s="32" t="s">
        <v>12</v>
      </c>
      <c r="M1108" s="49">
        <f t="shared" ref="M1108:M1143" si="20">E1108*G1108*I1108*K1108</f>
        <v>7.7049999999999992</v>
      </c>
      <c r="N1108" s="10" t="s">
        <v>25</v>
      </c>
      <c r="P1108" s="11"/>
      <c r="Q1108" s="6"/>
    </row>
    <row r="1109" spans="1:17" s="7" customFormat="1" ht="66" customHeight="1" x14ac:dyDescent="0.25">
      <c r="A1109" s="8"/>
      <c r="B1109" s="9"/>
      <c r="C1109" s="22" t="s">
        <v>185</v>
      </c>
      <c r="D1109" s="24" t="s">
        <v>12</v>
      </c>
      <c r="E1109" s="48">
        <v>1.2</v>
      </c>
      <c r="F1109" s="48" t="s">
        <v>24</v>
      </c>
      <c r="G1109" s="56">
        <v>3.5</v>
      </c>
      <c r="H1109" s="56" t="s">
        <v>24</v>
      </c>
      <c r="I1109" s="56">
        <v>1</v>
      </c>
      <c r="J1109" s="56" t="s">
        <v>24</v>
      </c>
      <c r="K1109" s="25">
        <v>2</v>
      </c>
      <c r="L1109" s="32" t="s">
        <v>12</v>
      </c>
      <c r="M1109" s="49">
        <f t="shared" si="20"/>
        <v>8.4</v>
      </c>
      <c r="N1109" s="10" t="s">
        <v>25</v>
      </c>
      <c r="P1109" s="11"/>
      <c r="Q1109" s="6"/>
    </row>
    <row r="1110" spans="1:17" s="7" customFormat="1" ht="66" customHeight="1" x14ac:dyDescent="0.25">
      <c r="A1110" s="8"/>
      <c r="B1110" s="9"/>
      <c r="C1110" s="22" t="s">
        <v>186</v>
      </c>
      <c r="D1110" s="24" t="s">
        <v>12</v>
      </c>
      <c r="E1110" s="48">
        <v>1.1499999999999999</v>
      </c>
      <c r="F1110" s="48" t="s">
        <v>24</v>
      </c>
      <c r="G1110" s="56">
        <v>3.35</v>
      </c>
      <c r="H1110" s="56" t="s">
        <v>24</v>
      </c>
      <c r="I1110" s="56">
        <v>1</v>
      </c>
      <c r="J1110" s="56" t="s">
        <v>24</v>
      </c>
      <c r="K1110" s="25">
        <v>2</v>
      </c>
      <c r="L1110" s="32" t="s">
        <v>12</v>
      </c>
      <c r="M1110" s="49">
        <f t="shared" si="20"/>
        <v>7.7049999999999992</v>
      </c>
      <c r="N1110" s="10" t="s">
        <v>25</v>
      </c>
      <c r="P1110" s="11"/>
      <c r="Q1110" s="6"/>
    </row>
    <row r="1111" spans="1:17" s="7" customFormat="1" ht="66" customHeight="1" x14ac:dyDescent="0.25">
      <c r="A1111" s="8"/>
      <c r="B1111" s="9"/>
      <c r="C1111" s="22" t="s">
        <v>175</v>
      </c>
      <c r="D1111" s="24" t="s">
        <v>12</v>
      </c>
      <c r="E1111" s="48">
        <v>1.1499999999999999</v>
      </c>
      <c r="F1111" s="48" t="s">
        <v>24</v>
      </c>
      <c r="G1111" s="56">
        <v>3.35</v>
      </c>
      <c r="H1111" s="56" t="s">
        <v>24</v>
      </c>
      <c r="I1111" s="56">
        <v>1</v>
      </c>
      <c r="J1111" s="56" t="s">
        <v>24</v>
      </c>
      <c r="K1111" s="25">
        <v>2</v>
      </c>
      <c r="L1111" s="32" t="s">
        <v>12</v>
      </c>
      <c r="M1111" s="49">
        <f t="shared" si="20"/>
        <v>7.7049999999999992</v>
      </c>
      <c r="N1111" s="10" t="s">
        <v>25</v>
      </c>
      <c r="P1111" s="11"/>
      <c r="Q1111" s="6"/>
    </row>
    <row r="1112" spans="1:17" s="7" customFormat="1" ht="66" customHeight="1" x14ac:dyDescent="0.25">
      <c r="A1112" s="8"/>
      <c r="B1112" s="9"/>
      <c r="C1112" s="22" t="s">
        <v>315</v>
      </c>
      <c r="D1112" s="24" t="s">
        <v>12</v>
      </c>
      <c r="E1112" s="48">
        <v>0.8</v>
      </c>
      <c r="F1112" s="48" t="s">
        <v>24</v>
      </c>
      <c r="G1112" s="56">
        <v>2.1</v>
      </c>
      <c r="H1112" s="56" t="s">
        <v>24</v>
      </c>
      <c r="I1112" s="56">
        <v>1</v>
      </c>
      <c r="J1112" s="56" t="s">
        <v>24</v>
      </c>
      <c r="K1112" s="25">
        <v>2</v>
      </c>
      <c r="L1112" s="32" t="s">
        <v>12</v>
      </c>
      <c r="M1112" s="49">
        <f t="shared" si="20"/>
        <v>3.3600000000000003</v>
      </c>
      <c r="N1112" s="10" t="s">
        <v>25</v>
      </c>
      <c r="P1112" s="11"/>
      <c r="Q1112" s="6"/>
    </row>
    <row r="1113" spans="1:17" s="7" customFormat="1" ht="66" customHeight="1" x14ac:dyDescent="0.25">
      <c r="A1113" s="8"/>
      <c r="B1113" s="9"/>
      <c r="C1113" s="22" t="s">
        <v>187</v>
      </c>
      <c r="D1113" s="24" t="s">
        <v>12</v>
      </c>
      <c r="E1113" s="48">
        <v>1.1499999999999999</v>
      </c>
      <c r="F1113" s="48" t="s">
        <v>24</v>
      </c>
      <c r="G1113" s="56">
        <v>3.35</v>
      </c>
      <c r="H1113" s="56" t="s">
        <v>24</v>
      </c>
      <c r="I1113" s="56">
        <v>1</v>
      </c>
      <c r="J1113" s="56" t="s">
        <v>24</v>
      </c>
      <c r="K1113" s="25">
        <v>2</v>
      </c>
      <c r="L1113" s="32" t="s">
        <v>12</v>
      </c>
      <c r="M1113" s="49">
        <f t="shared" si="20"/>
        <v>7.7049999999999992</v>
      </c>
      <c r="N1113" s="10" t="s">
        <v>25</v>
      </c>
      <c r="P1113" s="11"/>
      <c r="Q1113" s="6"/>
    </row>
    <row r="1114" spans="1:17" s="7" customFormat="1" ht="66" customHeight="1" x14ac:dyDescent="0.25">
      <c r="A1114" s="8"/>
      <c r="B1114" s="9"/>
      <c r="C1114" s="22" t="s">
        <v>188</v>
      </c>
      <c r="D1114" s="24" t="s">
        <v>12</v>
      </c>
      <c r="E1114" s="48">
        <v>1.2</v>
      </c>
      <c r="F1114" s="48" t="s">
        <v>24</v>
      </c>
      <c r="G1114" s="56">
        <v>3.5</v>
      </c>
      <c r="H1114" s="56" t="s">
        <v>24</v>
      </c>
      <c r="I1114" s="56">
        <v>1</v>
      </c>
      <c r="J1114" s="56" t="s">
        <v>24</v>
      </c>
      <c r="K1114" s="25">
        <v>2</v>
      </c>
      <c r="L1114" s="32" t="s">
        <v>12</v>
      </c>
      <c r="M1114" s="49">
        <f t="shared" si="20"/>
        <v>8.4</v>
      </c>
      <c r="N1114" s="10" t="s">
        <v>25</v>
      </c>
      <c r="P1114" s="11"/>
      <c r="Q1114" s="6"/>
    </row>
    <row r="1115" spans="1:17" s="7" customFormat="1" ht="66" customHeight="1" x14ac:dyDescent="0.25">
      <c r="A1115" s="8"/>
      <c r="B1115" s="9"/>
      <c r="C1115" s="22" t="s">
        <v>189</v>
      </c>
      <c r="D1115" s="24" t="s">
        <v>12</v>
      </c>
      <c r="E1115" s="48">
        <v>1.2</v>
      </c>
      <c r="F1115" s="48" t="s">
        <v>24</v>
      </c>
      <c r="G1115" s="56">
        <v>3.5</v>
      </c>
      <c r="H1115" s="56" t="s">
        <v>24</v>
      </c>
      <c r="I1115" s="56">
        <v>1</v>
      </c>
      <c r="J1115" s="56" t="s">
        <v>24</v>
      </c>
      <c r="K1115" s="25">
        <v>2</v>
      </c>
      <c r="L1115" s="32" t="s">
        <v>12</v>
      </c>
      <c r="M1115" s="49">
        <f t="shared" si="20"/>
        <v>8.4</v>
      </c>
      <c r="N1115" s="10" t="s">
        <v>25</v>
      </c>
      <c r="P1115" s="11"/>
      <c r="Q1115" s="6"/>
    </row>
    <row r="1116" spans="1:17" s="7" customFormat="1" ht="66" customHeight="1" x14ac:dyDescent="0.25">
      <c r="A1116" s="8"/>
      <c r="B1116" s="9"/>
      <c r="C1116" s="22" t="s">
        <v>190</v>
      </c>
      <c r="D1116" s="24" t="s">
        <v>12</v>
      </c>
      <c r="E1116" s="48">
        <v>1.2</v>
      </c>
      <c r="F1116" s="48" t="s">
        <v>24</v>
      </c>
      <c r="G1116" s="56">
        <v>3.5</v>
      </c>
      <c r="H1116" s="56" t="s">
        <v>24</v>
      </c>
      <c r="I1116" s="56">
        <v>1</v>
      </c>
      <c r="J1116" s="56" t="s">
        <v>24</v>
      </c>
      <c r="K1116" s="25">
        <v>2</v>
      </c>
      <c r="L1116" s="32" t="s">
        <v>12</v>
      </c>
      <c r="M1116" s="49">
        <f t="shared" si="20"/>
        <v>8.4</v>
      </c>
      <c r="N1116" s="10" t="s">
        <v>25</v>
      </c>
      <c r="P1116" s="11"/>
      <c r="Q1116" s="6"/>
    </row>
    <row r="1117" spans="1:17" s="7" customFormat="1" ht="66" customHeight="1" x14ac:dyDescent="0.25">
      <c r="A1117" s="8"/>
      <c r="B1117" s="9"/>
      <c r="C1117" s="22" t="s">
        <v>316</v>
      </c>
      <c r="D1117" s="24" t="s">
        <v>12</v>
      </c>
      <c r="E1117" s="48">
        <v>0.6</v>
      </c>
      <c r="F1117" s="48" t="s">
        <v>24</v>
      </c>
      <c r="G1117" s="56">
        <v>2.1</v>
      </c>
      <c r="H1117" s="56" t="s">
        <v>24</v>
      </c>
      <c r="I1117" s="56">
        <v>1</v>
      </c>
      <c r="J1117" s="56" t="s">
        <v>24</v>
      </c>
      <c r="K1117" s="25">
        <v>2</v>
      </c>
      <c r="L1117" s="32" t="s">
        <v>12</v>
      </c>
      <c r="M1117" s="49">
        <f t="shared" si="20"/>
        <v>2.52</v>
      </c>
      <c r="N1117" s="10" t="s">
        <v>25</v>
      </c>
      <c r="P1117" s="11"/>
      <c r="Q1117" s="6"/>
    </row>
    <row r="1118" spans="1:17" s="7" customFormat="1" ht="66" customHeight="1" x14ac:dyDescent="0.25">
      <c r="A1118" s="8"/>
      <c r="B1118" s="9"/>
      <c r="C1118" s="22" t="s">
        <v>203</v>
      </c>
      <c r="D1118" s="24" t="s">
        <v>12</v>
      </c>
      <c r="E1118" s="48">
        <v>1.2</v>
      </c>
      <c r="F1118" s="48" t="s">
        <v>24</v>
      </c>
      <c r="G1118" s="56">
        <v>3.5</v>
      </c>
      <c r="H1118" s="56" t="s">
        <v>24</v>
      </c>
      <c r="I1118" s="56">
        <v>1</v>
      </c>
      <c r="J1118" s="56" t="s">
        <v>24</v>
      </c>
      <c r="K1118" s="25">
        <v>2</v>
      </c>
      <c r="L1118" s="32" t="s">
        <v>12</v>
      </c>
      <c r="M1118" s="49">
        <f t="shared" si="20"/>
        <v>8.4</v>
      </c>
      <c r="N1118" s="10" t="s">
        <v>25</v>
      </c>
      <c r="P1118" s="11"/>
      <c r="Q1118" s="6"/>
    </row>
    <row r="1119" spans="1:17" s="7" customFormat="1" ht="66" customHeight="1" x14ac:dyDescent="0.25">
      <c r="A1119" s="8"/>
      <c r="B1119" s="9"/>
      <c r="C1119" s="22" t="s">
        <v>191</v>
      </c>
      <c r="D1119" s="24" t="s">
        <v>12</v>
      </c>
      <c r="E1119" s="48">
        <v>1.2</v>
      </c>
      <c r="F1119" s="48" t="s">
        <v>24</v>
      </c>
      <c r="G1119" s="56">
        <v>3.5</v>
      </c>
      <c r="H1119" s="56" t="s">
        <v>24</v>
      </c>
      <c r="I1119" s="56">
        <v>1</v>
      </c>
      <c r="J1119" s="56" t="s">
        <v>24</v>
      </c>
      <c r="K1119" s="25">
        <v>2</v>
      </c>
      <c r="L1119" s="32" t="s">
        <v>12</v>
      </c>
      <c r="M1119" s="49">
        <f t="shared" si="20"/>
        <v>8.4</v>
      </c>
      <c r="N1119" s="10" t="s">
        <v>25</v>
      </c>
      <c r="P1119" s="11"/>
      <c r="Q1119" s="6"/>
    </row>
    <row r="1120" spans="1:17" s="7" customFormat="1" ht="66" customHeight="1" x14ac:dyDescent="0.25">
      <c r="A1120" s="8"/>
      <c r="B1120" s="9"/>
      <c r="C1120" s="22" t="s">
        <v>113</v>
      </c>
      <c r="D1120" s="24" t="s">
        <v>12</v>
      </c>
      <c r="E1120" s="48">
        <v>1.2</v>
      </c>
      <c r="F1120" s="48" t="s">
        <v>24</v>
      </c>
      <c r="G1120" s="56">
        <v>3.5</v>
      </c>
      <c r="H1120" s="56" t="s">
        <v>24</v>
      </c>
      <c r="I1120" s="56">
        <v>1</v>
      </c>
      <c r="J1120" s="56" t="s">
        <v>24</v>
      </c>
      <c r="K1120" s="25">
        <v>2</v>
      </c>
      <c r="L1120" s="32" t="s">
        <v>12</v>
      </c>
      <c r="M1120" s="49">
        <f t="shared" si="20"/>
        <v>8.4</v>
      </c>
      <c r="N1120" s="10" t="s">
        <v>25</v>
      </c>
      <c r="P1120" s="11"/>
      <c r="Q1120" s="6"/>
    </row>
    <row r="1121" spans="1:17" s="7" customFormat="1" ht="66" customHeight="1" x14ac:dyDescent="0.25">
      <c r="A1121" s="8"/>
      <c r="B1121" s="9"/>
      <c r="C1121" s="22" t="s">
        <v>317</v>
      </c>
      <c r="D1121" s="24" t="s">
        <v>12</v>
      </c>
      <c r="E1121" s="48">
        <v>0.7</v>
      </c>
      <c r="F1121" s="48" t="s">
        <v>24</v>
      </c>
      <c r="G1121" s="56">
        <v>1.8</v>
      </c>
      <c r="H1121" s="56" t="s">
        <v>24</v>
      </c>
      <c r="I1121" s="56">
        <v>2</v>
      </c>
      <c r="J1121" s="56" t="s">
        <v>24</v>
      </c>
      <c r="K1121" s="25">
        <v>2</v>
      </c>
      <c r="L1121" s="32" t="s">
        <v>12</v>
      </c>
      <c r="M1121" s="49">
        <f t="shared" si="20"/>
        <v>5.04</v>
      </c>
      <c r="N1121" s="10" t="s">
        <v>25</v>
      </c>
      <c r="P1121" s="11"/>
      <c r="Q1121" s="6"/>
    </row>
    <row r="1122" spans="1:17" s="7" customFormat="1" ht="66" customHeight="1" x14ac:dyDescent="0.25">
      <c r="A1122" s="8"/>
      <c r="B1122" s="9"/>
      <c r="C1122" s="22" t="s">
        <v>318</v>
      </c>
      <c r="D1122" s="24" t="s">
        <v>12</v>
      </c>
      <c r="E1122" s="48">
        <v>0.7</v>
      </c>
      <c r="F1122" s="48" t="s">
        <v>24</v>
      </c>
      <c r="G1122" s="56">
        <v>1.8</v>
      </c>
      <c r="H1122" s="56" t="s">
        <v>24</v>
      </c>
      <c r="I1122" s="56">
        <v>2</v>
      </c>
      <c r="J1122" s="56" t="s">
        <v>24</v>
      </c>
      <c r="K1122" s="25">
        <v>2</v>
      </c>
      <c r="L1122" s="32" t="s">
        <v>12</v>
      </c>
      <c r="M1122" s="49">
        <f t="shared" si="20"/>
        <v>5.04</v>
      </c>
      <c r="N1122" s="10" t="s">
        <v>25</v>
      </c>
      <c r="P1122" s="11"/>
      <c r="Q1122" s="6"/>
    </row>
    <row r="1123" spans="1:17" s="7" customFormat="1" ht="66" customHeight="1" x14ac:dyDescent="0.25">
      <c r="A1123" s="8"/>
      <c r="B1123" s="9"/>
      <c r="C1123" s="22" t="s">
        <v>114</v>
      </c>
      <c r="D1123" s="24" t="s">
        <v>12</v>
      </c>
      <c r="E1123" s="48">
        <v>1.2</v>
      </c>
      <c r="F1123" s="48" t="s">
        <v>24</v>
      </c>
      <c r="G1123" s="56">
        <v>3.5</v>
      </c>
      <c r="H1123" s="56" t="s">
        <v>24</v>
      </c>
      <c r="I1123" s="56">
        <v>1</v>
      </c>
      <c r="J1123" s="56" t="s">
        <v>24</v>
      </c>
      <c r="K1123" s="25">
        <v>2</v>
      </c>
      <c r="L1123" s="32" t="s">
        <v>12</v>
      </c>
      <c r="M1123" s="49">
        <f t="shared" si="20"/>
        <v>8.4</v>
      </c>
      <c r="N1123" s="10" t="s">
        <v>25</v>
      </c>
      <c r="P1123" s="11"/>
      <c r="Q1123" s="6"/>
    </row>
    <row r="1124" spans="1:17" s="7" customFormat="1" ht="66" customHeight="1" x14ac:dyDescent="0.25">
      <c r="A1124" s="8"/>
      <c r="B1124" s="9"/>
      <c r="C1124" s="22" t="s">
        <v>115</v>
      </c>
      <c r="D1124" s="24" t="s">
        <v>12</v>
      </c>
      <c r="E1124" s="48">
        <v>1.2</v>
      </c>
      <c r="F1124" s="48" t="s">
        <v>24</v>
      </c>
      <c r="G1124" s="56">
        <v>3.5</v>
      </c>
      <c r="H1124" s="56" t="s">
        <v>24</v>
      </c>
      <c r="I1124" s="56">
        <v>1</v>
      </c>
      <c r="J1124" s="56" t="s">
        <v>24</v>
      </c>
      <c r="K1124" s="25">
        <v>2</v>
      </c>
      <c r="L1124" s="32" t="s">
        <v>12</v>
      </c>
      <c r="M1124" s="49">
        <f t="shared" si="20"/>
        <v>8.4</v>
      </c>
      <c r="N1124" s="10" t="s">
        <v>25</v>
      </c>
      <c r="P1124" s="11"/>
      <c r="Q1124" s="6"/>
    </row>
    <row r="1125" spans="1:17" s="7" customFormat="1" ht="66" customHeight="1" x14ac:dyDescent="0.25">
      <c r="A1125" s="8"/>
      <c r="B1125" s="9"/>
      <c r="C1125" s="22" t="s">
        <v>204</v>
      </c>
      <c r="D1125" s="24" t="s">
        <v>12</v>
      </c>
      <c r="E1125" s="48">
        <v>1.2</v>
      </c>
      <c r="F1125" s="48" t="s">
        <v>24</v>
      </c>
      <c r="G1125" s="56">
        <v>3.5</v>
      </c>
      <c r="H1125" s="56" t="s">
        <v>24</v>
      </c>
      <c r="I1125" s="56">
        <v>1</v>
      </c>
      <c r="J1125" s="56" t="s">
        <v>24</v>
      </c>
      <c r="K1125" s="25">
        <v>2</v>
      </c>
      <c r="L1125" s="32" t="s">
        <v>12</v>
      </c>
      <c r="M1125" s="49">
        <f t="shared" si="20"/>
        <v>8.4</v>
      </c>
      <c r="N1125" s="10" t="s">
        <v>25</v>
      </c>
      <c r="P1125" s="11"/>
      <c r="Q1125" s="6"/>
    </row>
    <row r="1126" spans="1:17" s="7" customFormat="1" ht="66" customHeight="1" x14ac:dyDescent="0.25">
      <c r="A1126" s="8"/>
      <c r="B1126" s="9"/>
      <c r="C1126" s="22" t="s">
        <v>192</v>
      </c>
      <c r="D1126" s="24" t="s">
        <v>12</v>
      </c>
      <c r="E1126" s="48">
        <v>1.2</v>
      </c>
      <c r="F1126" s="48" t="s">
        <v>24</v>
      </c>
      <c r="G1126" s="56">
        <v>3.5</v>
      </c>
      <c r="H1126" s="56" t="s">
        <v>24</v>
      </c>
      <c r="I1126" s="56">
        <v>1</v>
      </c>
      <c r="J1126" s="56" t="s">
        <v>24</v>
      </c>
      <c r="K1126" s="25">
        <v>2</v>
      </c>
      <c r="L1126" s="32" t="s">
        <v>12</v>
      </c>
      <c r="M1126" s="49">
        <f t="shared" si="20"/>
        <v>8.4</v>
      </c>
      <c r="N1126" s="10" t="s">
        <v>25</v>
      </c>
      <c r="P1126" s="11"/>
      <c r="Q1126" s="6"/>
    </row>
    <row r="1127" spans="1:17" s="7" customFormat="1" ht="66" customHeight="1" x14ac:dyDescent="0.25">
      <c r="A1127" s="8"/>
      <c r="B1127" s="9"/>
      <c r="C1127" s="22" t="s">
        <v>193</v>
      </c>
      <c r="D1127" s="24" t="s">
        <v>12</v>
      </c>
      <c r="E1127" s="48">
        <v>1.2</v>
      </c>
      <c r="F1127" s="48" t="s">
        <v>24</v>
      </c>
      <c r="G1127" s="56">
        <v>3.5</v>
      </c>
      <c r="H1127" s="56" t="s">
        <v>24</v>
      </c>
      <c r="I1127" s="56">
        <v>1</v>
      </c>
      <c r="J1127" s="56" t="s">
        <v>24</v>
      </c>
      <c r="K1127" s="25">
        <v>2</v>
      </c>
      <c r="L1127" s="32" t="s">
        <v>12</v>
      </c>
      <c r="M1127" s="49">
        <f t="shared" si="20"/>
        <v>8.4</v>
      </c>
      <c r="N1127" s="10" t="s">
        <v>25</v>
      </c>
      <c r="P1127" s="11"/>
      <c r="Q1127" s="6"/>
    </row>
    <row r="1128" spans="1:17" s="7" customFormat="1" ht="66" customHeight="1" x14ac:dyDescent="0.25">
      <c r="A1128" s="8"/>
      <c r="B1128" s="9"/>
      <c r="C1128" s="22" t="s">
        <v>194</v>
      </c>
      <c r="D1128" s="24" t="s">
        <v>12</v>
      </c>
      <c r="E1128" s="48">
        <v>1.2</v>
      </c>
      <c r="F1128" s="48" t="s">
        <v>24</v>
      </c>
      <c r="G1128" s="56">
        <v>3.5</v>
      </c>
      <c r="H1128" s="56" t="s">
        <v>24</v>
      </c>
      <c r="I1128" s="56">
        <v>1</v>
      </c>
      <c r="J1128" s="56" t="s">
        <v>24</v>
      </c>
      <c r="K1128" s="25">
        <v>2</v>
      </c>
      <c r="L1128" s="32" t="s">
        <v>12</v>
      </c>
      <c r="M1128" s="49">
        <f t="shared" si="20"/>
        <v>8.4</v>
      </c>
      <c r="N1128" s="10" t="s">
        <v>25</v>
      </c>
      <c r="P1128" s="11"/>
      <c r="Q1128" s="6"/>
    </row>
    <row r="1129" spans="1:17" s="7" customFormat="1" ht="66" customHeight="1" x14ac:dyDescent="0.25">
      <c r="A1129" s="8"/>
      <c r="B1129" s="9"/>
      <c r="C1129" s="22" t="s">
        <v>319</v>
      </c>
      <c r="D1129" s="24" t="s">
        <v>12</v>
      </c>
      <c r="E1129" s="48">
        <v>1.1499999999999999</v>
      </c>
      <c r="F1129" s="48" t="s">
        <v>24</v>
      </c>
      <c r="G1129" s="56">
        <v>3.35</v>
      </c>
      <c r="H1129" s="56" t="s">
        <v>24</v>
      </c>
      <c r="I1129" s="56">
        <v>1</v>
      </c>
      <c r="J1129" s="56" t="s">
        <v>24</v>
      </c>
      <c r="K1129" s="25">
        <v>2</v>
      </c>
      <c r="L1129" s="32" t="s">
        <v>12</v>
      </c>
      <c r="M1129" s="49">
        <f t="shared" si="20"/>
        <v>7.7049999999999992</v>
      </c>
      <c r="N1129" s="10" t="s">
        <v>25</v>
      </c>
      <c r="P1129" s="11"/>
      <c r="Q1129" s="6"/>
    </row>
    <row r="1130" spans="1:17" s="7" customFormat="1" ht="66" customHeight="1" x14ac:dyDescent="0.25">
      <c r="A1130" s="8"/>
      <c r="B1130" s="9"/>
      <c r="C1130" s="22" t="s">
        <v>195</v>
      </c>
      <c r="D1130" s="24" t="s">
        <v>12</v>
      </c>
      <c r="E1130" s="48">
        <v>1.2</v>
      </c>
      <c r="F1130" s="48" t="s">
        <v>24</v>
      </c>
      <c r="G1130" s="56">
        <v>3.5</v>
      </c>
      <c r="H1130" s="56" t="s">
        <v>24</v>
      </c>
      <c r="I1130" s="56">
        <v>1</v>
      </c>
      <c r="J1130" s="56" t="s">
        <v>24</v>
      </c>
      <c r="K1130" s="25">
        <v>2</v>
      </c>
      <c r="L1130" s="32" t="s">
        <v>12</v>
      </c>
      <c r="M1130" s="49">
        <f t="shared" si="20"/>
        <v>8.4</v>
      </c>
      <c r="N1130" s="10" t="s">
        <v>25</v>
      </c>
      <c r="P1130" s="11"/>
      <c r="Q1130" s="6"/>
    </row>
    <row r="1131" spans="1:17" s="7" customFormat="1" ht="66" customHeight="1" x14ac:dyDescent="0.25">
      <c r="A1131" s="8"/>
      <c r="B1131" s="9"/>
      <c r="C1131" s="22" t="s">
        <v>93</v>
      </c>
      <c r="D1131" s="24" t="s">
        <v>12</v>
      </c>
      <c r="E1131" s="48">
        <v>1.4</v>
      </c>
      <c r="F1131" s="48" t="s">
        <v>24</v>
      </c>
      <c r="G1131" s="56">
        <v>3.4</v>
      </c>
      <c r="H1131" s="56" t="s">
        <v>24</v>
      </c>
      <c r="I1131" s="56">
        <v>1</v>
      </c>
      <c r="J1131" s="56" t="s">
        <v>24</v>
      </c>
      <c r="K1131" s="25">
        <v>1</v>
      </c>
      <c r="L1131" s="32" t="s">
        <v>12</v>
      </c>
      <c r="M1131" s="49">
        <f t="shared" si="20"/>
        <v>4.76</v>
      </c>
      <c r="N1131" s="10" t="s">
        <v>25</v>
      </c>
      <c r="P1131" s="11"/>
      <c r="Q1131" s="6"/>
    </row>
    <row r="1132" spans="1:17" s="7" customFormat="1" ht="66" customHeight="1" x14ac:dyDescent="0.25">
      <c r="A1132" s="8"/>
      <c r="B1132" s="9"/>
      <c r="C1132" s="22" t="s">
        <v>196</v>
      </c>
      <c r="D1132" s="24" t="s">
        <v>12</v>
      </c>
      <c r="E1132" s="48">
        <v>1.1499999999999999</v>
      </c>
      <c r="F1132" s="48" t="s">
        <v>24</v>
      </c>
      <c r="G1132" s="56">
        <v>3.35</v>
      </c>
      <c r="H1132" s="56" t="s">
        <v>24</v>
      </c>
      <c r="I1132" s="56">
        <v>1</v>
      </c>
      <c r="J1132" s="56" t="s">
        <v>24</v>
      </c>
      <c r="K1132" s="25">
        <v>2</v>
      </c>
      <c r="L1132" s="32" t="s">
        <v>12</v>
      </c>
      <c r="M1132" s="49">
        <f t="shared" si="20"/>
        <v>7.7049999999999992</v>
      </c>
      <c r="N1132" s="10" t="s">
        <v>25</v>
      </c>
      <c r="P1132" s="11"/>
      <c r="Q1132" s="6"/>
    </row>
    <row r="1133" spans="1:17" s="7" customFormat="1" ht="66" customHeight="1" x14ac:dyDescent="0.25">
      <c r="A1133" s="8"/>
      <c r="B1133" s="9"/>
      <c r="C1133" s="22" t="s">
        <v>96</v>
      </c>
      <c r="D1133" s="24"/>
      <c r="E1133" s="48">
        <v>1.4</v>
      </c>
      <c r="F1133" s="48" t="s">
        <v>24</v>
      </c>
      <c r="G1133" s="56">
        <v>3.4</v>
      </c>
      <c r="H1133" s="56" t="s">
        <v>24</v>
      </c>
      <c r="I1133" s="56">
        <v>2</v>
      </c>
      <c r="J1133" s="56" t="s">
        <v>24</v>
      </c>
      <c r="K1133" s="25">
        <v>1</v>
      </c>
      <c r="L1133" s="32" t="s">
        <v>12</v>
      </c>
      <c r="M1133" s="49">
        <f t="shared" si="20"/>
        <v>9.52</v>
      </c>
      <c r="N1133" s="10" t="s">
        <v>25</v>
      </c>
      <c r="P1133" s="11"/>
      <c r="Q1133" s="6"/>
    </row>
    <row r="1134" spans="1:17" s="7" customFormat="1" ht="66" customHeight="1" x14ac:dyDescent="0.25">
      <c r="A1134" s="8"/>
      <c r="B1134" s="9"/>
      <c r="C1134" s="22" t="s">
        <v>197</v>
      </c>
      <c r="D1134" s="24" t="s">
        <v>12</v>
      </c>
      <c r="E1134" s="48">
        <v>1.2</v>
      </c>
      <c r="F1134" s="48" t="s">
        <v>24</v>
      </c>
      <c r="G1134" s="56">
        <v>3.5</v>
      </c>
      <c r="H1134" s="56" t="s">
        <v>24</v>
      </c>
      <c r="I1134" s="56">
        <v>2</v>
      </c>
      <c r="J1134" s="56" t="s">
        <v>24</v>
      </c>
      <c r="K1134" s="25">
        <v>2</v>
      </c>
      <c r="L1134" s="32" t="s">
        <v>12</v>
      </c>
      <c r="M1134" s="49">
        <f t="shared" si="20"/>
        <v>16.8</v>
      </c>
      <c r="N1134" s="10" t="s">
        <v>25</v>
      </c>
      <c r="P1134" s="11"/>
      <c r="Q1134" s="6"/>
    </row>
    <row r="1135" spans="1:17" s="7" customFormat="1" ht="66" customHeight="1" x14ac:dyDescent="0.25">
      <c r="A1135" s="8"/>
      <c r="B1135" s="9"/>
      <c r="C1135" s="22" t="s">
        <v>116</v>
      </c>
      <c r="D1135" s="24" t="s">
        <v>12</v>
      </c>
      <c r="E1135" s="48">
        <v>1.2</v>
      </c>
      <c r="F1135" s="48" t="s">
        <v>24</v>
      </c>
      <c r="G1135" s="56">
        <v>3.5</v>
      </c>
      <c r="H1135" s="56" t="s">
        <v>24</v>
      </c>
      <c r="I1135" s="56">
        <v>1</v>
      </c>
      <c r="J1135" s="56" t="s">
        <v>24</v>
      </c>
      <c r="K1135" s="25">
        <v>2</v>
      </c>
      <c r="L1135" s="32" t="s">
        <v>12</v>
      </c>
      <c r="M1135" s="49">
        <f t="shared" si="20"/>
        <v>8.4</v>
      </c>
      <c r="N1135" s="10" t="s">
        <v>25</v>
      </c>
      <c r="P1135" s="11"/>
      <c r="Q1135" s="6"/>
    </row>
    <row r="1136" spans="1:17" s="7" customFormat="1" ht="66" customHeight="1" x14ac:dyDescent="0.25">
      <c r="A1136" s="8"/>
      <c r="B1136" s="9"/>
      <c r="C1136" s="22" t="s">
        <v>320</v>
      </c>
      <c r="D1136" s="24" t="s">
        <v>12</v>
      </c>
      <c r="E1136" s="48">
        <v>0.7</v>
      </c>
      <c r="F1136" s="48" t="s">
        <v>24</v>
      </c>
      <c r="G1136" s="56">
        <v>1.8</v>
      </c>
      <c r="H1136" s="56" t="s">
        <v>24</v>
      </c>
      <c r="I1136" s="56">
        <v>2</v>
      </c>
      <c r="J1136" s="56" t="s">
        <v>24</v>
      </c>
      <c r="K1136" s="25">
        <v>2</v>
      </c>
      <c r="L1136" s="32" t="s">
        <v>12</v>
      </c>
      <c r="M1136" s="49">
        <f t="shared" si="20"/>
        <v>5.04</v>
      </c>
      <c r="N1136" s="10" t="s">
        <v>25</v>
      </c>
      <c r="P1136" s="11"/>
      <c r="Q1136" s="6"/>
    </row>
    <row r="1137" spans="1:17" s="7" customFormat="1" ht="66" customHeight="1" x14ac:dyDescent="0.25">
      <c r="A1137" s="8"/>
      <c r="B1137" s="9"/>
      <c r="C1137" s="22" t="s">
        <v>321</v>
      </c>
      <c r="D1137" s="24" t="s">
        <v>12</v>
      </c>
      <c r="E1137" s="48">
        <v>0.7</v>
      </c>
      <c r="F1137" s="48" t="s">
        <v>24</v>
      </c>
      <c r="G1137" s="56">
        <v>1.8</v>
      </c>
      <c r="H1137" s="56" t="s">
        <v>24</v>
      </c>
      <c r="I1137" s="56">
        <v>2</v>
      </c>
      <c r="J1137" s="56" t="s">
        <v>24</v>
      </c>
      <c r="K1137" s="25">
        <v>2</v>
      </c>
      <c r="L1137" s="32" t="s">
        <v>12</v>
      </c>
      <c r="M1137" s="49">
        <f t="shared" si="20"/>
        <v>5.04</v>
      </c>
      <c r="N1137" s="10" t="s">
        <v>25</v>
      </c>
      <c r="P1137" s="11"/>
      <c r="Q1137" s="6"/>
    </row>
    <row r="1138" spans="1:17" s="7" customFormat="1" ht="66" customHeight="1" x14ac:dyDescent="0.25">
      <c r="A1138" s="8"/>
      <c r="B1138" s="9"/>
      <c r="C1138" s="22" t="s">
        <v>117</v>
      </c>
      <c r="D1138" s="24" t="s">
        <v>12</v>
      </c>
      <c r="E1138" s="48">
        <v>1.2</v>
      </c>
      <c r="F1138" s="48" t="s">
        <v>24</v>
      </c>
      <c r="G1138" s="56">
        <v>3.5</v>
      </c>
      <c r="H1138" s="56" t="s">
        <v>24</v>
      </c>
      <c r="I1138" s="56">
        <v>1</v>
      </c>
      <c r="J1138" s="56" t="s">
        <v>24</v>
      </c>
      <c r="K1138" s="25">
        <v>2</v>
      </c>
      <c r="L1138" s="32" t="s">
        <v>12</v>
      </c>
      <c r="M1138" s="49">
        <f t="shared" si="20"/>
        <v>8.4</v>
      </c>
      <c r="N1138" s="10" t="s">
        <v>25</v>
      </c>
      <c r="P1138" s="11"/>
      <c r="Q1138" s="6"/>
    </row>
    <row r="1139" spans="1:17" s="7" customFormat="1" ht="66" customHeight="1" x14ac:dyDescent="0.25">
      <c r="A1139" s="8"/>
      <c r="B1139" s="9"/>
      <c r="C1139" s="22" t="s">
        <v>118</v>
      </c>
      <c r="D1139" s="24" t="s">
        <v>12</v>
      </c>
      <c r="E1139" s="48">
        <v>1.2</v>
      </c>
      <c r="F1139" s="48" t="s">
        <v>24</v>
      </c>
      <c r="G1139" s="56">
        <v>3.5</v>
      </c>
      <c r="H1139" s="56" t="s">
        <v>24</v>
      </c>
      <c r="I1139" s="56">
        <v>1</v>
      </c>
      <c r="J1139" s="56" t="s">
        <v>24</v>
      </c>
      <c r="K1139" s="25">
        <v>2</v>
      </c>
      <c r="L1139" s="32" t="s">
        <v>12</v>
      </c>
      <c r="M1139" s="49">
        <f t="shared" si="20"/>
        <v>8.4</v>
      </c>
      <c r="N1139" s="10" t="s">
        <v>25</v>
      </c>
      <c r="P1139" s="11"/>
      <c r="Q1139" s="6"/>
    </row>
    <row r="1140" spans="1:17" s="7" customFormat="1" ht="66" customHeight="1" x14ac:dyDescent="0.25">
      <c r="A1140" s="8"/>
      <c r="B1140" s="9"/>
      <c r="C1140" s="22" t="s">
        <v>198</v>
      </c>
      <c r="D1140" s="24" t="s">
        <v>12</v>
      </c>
      <c r="E1140" s="48">
        <v>1.2</v>
      </c>
      <c r="F1140" s="48" t="s">
        <v>24</v>
      </c>
      <c r="G1140" s="56">
        <v>3.5</v>
      </c>
      <c r="H1140" s="56" t="s">
        <v>24</v>
      </c>
      <c r="I1140" s="56">
        <v>1</v>
      </c>
      <c r="J1140" s="56" t="s">
        <v>24</v>
      </c>
      <c r="K1140" s="25">
        <v>2</v>
      </c>
      <c r="L1140" s="32" t="s">
        <v>12</v>
      </c>
      <c r="M1140" s="49">
        <f t="shared" si="20"/>
        <v>8.4</v>
      </c>
      <c r="N1140" s="10" t="s">
        <v>25</v>
      </c>
      <c r="P1140" s="11"/>
      <c r="Q1140" s="6"/>
    </row>
    <row r="1141" spans="1:17" s="7" customFormat="1" ht="66" customHeight="1" x14ac:dyDescent="0.25">
      <c r="A1141" s="8"/>
      <c r="B1141" s="9"/>
      <c r="C1141" s="22" t="s">
        <v>119</v>
      </c>
      <c r="D1141" s="24" t="s">
        <v>12</v>
      </c>
      <c r="E1141" s="48">
        <v>0.8</v>
      </c>
      <c r="F1141" s="48" t="s">
        <v>24</v>
      </c>
      <c r="G1141" s="56">
        <v>2.1</v>
      </c>
      <c r="H1141" s="56" t="s">
        <v>24</v>
      </c>
      <c r="I1141" s="56">
        <v>1</v>
      </c>
      <c r="J1141" s="56" t="s">
        <v>24</v>
      </c>
      <c r="K1141" s="25">
        <v>2</v>
      </c>
      <c r="L1141" s="32" t="s">
        <v>12</v>
      </c>
      <c r="M1141" s="49">
        <f t="shared" si="20"/>
        <v>3.3600000000000003</v>
      </c>
      <c r="N1141" s="10" t="s">
        <v>25</v>
      </c>
      <c r="P1141" s="11"/>
      <c r="Q1141" s="6"/>
    </row>
    <row r="1142" spans="1:17" s="7" customFormat="1" ht="66" customHeight="1" x14ac:dyDescent="0.25">
      <c r="A1142" s="8"/>
      <c r="B1142" s="9"/>
      <c r="C1142" s="22" t="s">
        <v>120</v>
      </c>
      <c r="D1142" s="24" t="s">
        <v>12</v>
      </c>
      <c r="E1142" s="48">
        <v>0.8</v>
      </c>
      <c r="F1142" s="48" t="s">
        <v>24</v>
      </c>
      <c r="G1142" s="56">
        <v>2.1</v>
      </c>
      <c r="H1142" s="56" t="s">
        <v>24</v>
      </c>
      <c r="I1142" s="56">
        <v>1</v>
      </c>
      <c r="J1142" s="56" t="s">
        <v>24</v>
      </c>
      <c r="K1142" s="25">
        <v>2</v>
      </c>
      <c r="L1142" s="32" t="s">
        <v>12</v>
      </c>
      <c r="M1142" s="49">
        <f t="shared" si="20"/>
        <v>3.3600000000000003</v>
      </c>
      <c r="N1142" s="10" t="s">
        <v>25</v>
      </c>
      <c r="P1142" s="11"/>
      <c r="Q1142" s="6"/>
    </row>
    <row r="1143" spans="1:17" s="7" customFormat="1" ht="66" customHeight="1" x14ac:dyDescent="0.25">
      <c r="A1143" s="8"/>
      <c r="B1143" s="9"/>
      <c r="C1143" s="22" t="s">
        <v>176</v>
      </c>
      <c r="D1143" s="24" t="s">
        <v>12</v>
      </c>
      <c r="E1143" s="48">
        <v>0.8</v>
      </c>
      <c r="F1143" s="48" t="s">
        <v>24</v>
      </c>
      <c r="G1143" s="56">
        <v>2.1</v>
      </c>
      <c r="H1143" s="56" t="s">
        <v>24</v>
      </c>
      <c r="I1143" s="56">
        <v>2</v>
      </c>
      <c r="J1143" s="56" t="s">
        <v>24</v>
      </c>
      <c r="K1143" s="25">
        <v>2</v>
      </c>
      <c r="L1143" s="32" t="s">
        <v>12</v>
      </c>
      <c r="M1143" s="49">
        <f t="shared" si="20"/>
        <v>6.7200000000000006</v>
      </c>
      <c r="N1143" s="10" t="s">
        <v>25</v>
      </c>
      <c r="P1143" s="11"/>
      <c r="Q1143" s="6"/>
    </row>
    <row r="1144" spans="1:17" s="7" customFormat="1" ht="66" customHeight="1" x14ac:dyDescent="0.25">
      <c r="A1144" s="8"/>
      <c r="B1144" s="9"/>
      <c r="C1144" s="22"/>
      <c r="D1144" s="24"/>
      <c r="E1144" s="48"/>
      <c r="F1144" s="48"/>
      <c r="G1144" s="56"/>
      <c r="H1144" s="56"/>
      <c r="I1144" s="56"/>
      <c r="J1144" s="56"/>
      <c r="K1144" s="25"/>
      <c r="L1144" s="32"/>
      <c r="M1144" s="49"/>
      <c r="N1144" s="10"/>
      <c r="P1144" s="11"/>
      <c r="Q1144" s="6"/>
    </row>
    <row r="1145" spans="1:17" s="7" customFormat="1" ht="66" customHeight="1" x14ac:dyDescent="0.25">
      <c r="A1145" s="8"/>
      <c r="B1145" s="9"/>
      <c r="C1145" s="22" t="s">
        <v>74</v>
      </c>
      <c r="D1145" s="24"/>
      <c r="E1145" s="48"/>
      <c r="F1145" s="48"/>
      <c r="G1145" s="56"/>
      <c r="H1145" s="56"/>
      <c r="I1145" s="56"/>
      <c r="J1145" s="56"/>
      <c r="K1145" s="25"/>
      <c r="L1145" s="32"/>
      <c r="M1145" s="49"/>
      <c r="N1145" s="10"/>
      <c r="P1145" s="11"/>
      <c r="Q1145" s="6"/>
    </row>
    <row r="1146" spans="1:17" s="7" customFormat="1" ht="66" customHeight="1" x14ac:dyDescent="0.25">
      <c r="A1146" s="8"/>
      <c r="B1146" s="9"/>
      <c r="C1146" s="22"/>
      <c r="D1146" s="24"/>
      <c r="E1146" s="48"/>
      <c r="F1146" s="48"/>
      <c r="G1146" s="56"/>
      <c r="H1146" s="56"/>
      <c r="I1146" s="56"/>
      <c r="J1146" s="56"/>
      <c r="K1146" s="25"/>
      <c r="L1146" s="32"/>
      <c r="M1146" s="49"/>
      <c r="N1146" s="10"/>
      <c r="P1146" s="11"/>
      <c r="Q1146" s="6"/>
    </row>
    <row r="1147" spans="1:17" s="7" customFormat="1" ht="66" customHeight="1" x14ac:dyDescent="0.25">
      <c r="A1147" s="8"/>
      <c r="B1147" s="9"/>
      <c r="C1147" s="22" t="s">
        <v>76</v>
      </c>
      <c r="D1147" s="24" t="s">
        <v>12</v>
      </c>
      <c r="E1147" s="48">
        <v>1.4</v>
      </c>
      <c r="F1147" s="48" t="s">
        <v>24</v>
      </c>
      <c r="G1147" s="56">
        <v>2.8</v>
      </c>
      <c r="H1147" s="56" t="s">
        <v>24</v>
      </c>
      <c r="I1147" s="56">
        <v>2</v>
      </c>
      <c r="J1147" s="56" t="s">
        <v>24</v>
      </c>
      <c r="K1147" s="25">
        <v>2</v>
      </c>
      <c r="L1147" s="32" t="s">
        <v>12</v>
      </c>
      <c r="M1147" s="49">
        <f>E1147*G1147*I1147*K1147</f>
        <v>15.679999999999998</v>
      </c>
      <c r="N1147" s="10" t="s">
        <v>25</v>
      </c>
      <c r="P1147" s="11"/>
      <c r="Q1147" s="6"/>
    </row>
    <row r="1148" spans="1:17" s="7" customFormat="1" ht="66" customHeight="1" x14ac:dyDescent="0.25">
      <c r="A1148" s="8"/>
      <c r="B1148" s="9"/>
      <c r="C1148" s="22" t="s">
        <v>78</v>
      </c>
      <c r="D1148" s="24" t="s">
        <v>12</v>
      </c>
      <c r="E1148" s="48">
        <v>1.4</v>
      </c>
      <c r="F1148" s="48" t="s">
        <v>24</v>
      </c>
      <c r="G1148" s="56">
        <v>2.8</v>
      </c>
      <c r="H1148" s="56" t="s">
        <v>24</v>
      </c>
      <c r="I1148" s="56">
        <v>2</v>
      </c>
      <c r="J1148" s="56" t="s">
        <v>24</v>
      </c>
      <c r="K1148" s="25">
        <v>2</v>
      </c>
      <c r="L1148" s="32" t="s">
        <v>12</v>
      </c>
      <c r="M1148" s="49">
        <f t="shared" ref="M1148:M1168" si="21">E1148*G1148*I1148*K1148</f>
        <v>15.679999999999998</v>
      </c>
      <c r="N1148" s="10" t="s">
        <v>25</v>
      </c>
      <c r="P1148" s="11"/>
      <c r="Q1148" s="6"/>
    </row>
    <row r="1149" spans="1:17" s="7" customFormat="1" ht="66" customHeight="1" x14ac:dyDescent="0.25">
      <c r="A1149" s="8"/>
      <c r="B1149" s="9"/>
      <c r="C1149" s="22" t="s">
        <v>79</v>
      </c>
      <c r="D1149" s="24" t="s">
        <v>12</v>
      </c>
      <c r="E1149" s="48">
        <v>1.4</v>
      </c>
      <c r="F1149" s="48" t="s">
        <v>24</v>
      </c>
      <c r="G1149" s="56">
        <v>2.8</v>
      </c>
      <c r="H1149" s="56" t="s">
        <v>24</v>
      </c>
      <c r="I1149" s="56">
        <v>2</v>
      </c>
      <c r="J1149" s="56" t="s">
        <v>24</v>
      </c>
      <c r="K1149" s="25">
        <v>2</v>
      </c>
      <c r="L1149" s="32" t="s">
        <v>12</v>
      </c>
      <c r="M1149" s="49">
        <f t="shared" si="21"/>
        <v>15.679999999999998</v>
      </c>
      <c r="N1149" s="10" t="s">
        <v>25</v>
      </c>
      <c r="P1149" s="11"/>
      <c r="Q1149" s="6"/>
    </row>
    <row r="1150" spans="1:17" s="7" customFormat="1" ht="66" customHeight="1" x14ac:dyDescent="0.25">
      <c r="A1150" s="8"/>
      <c r="B1150" s="9"/>
      <c r="C1150" s="22" t="s">
        <v>80</v>
      </c>
      <c r="D1150" s="24" t="s">
        <v>12</v>
      </c>
      <c r="E1150" s="48">
        <v>1.4</v>
      </c>
      <c r="F1150" s="48" t="s">
        <v>24</v>
      </c>
      <c r="G1150" s="56">
        <v>2.4</v>
      </c>
      <c r="H1150" s="56" t="s">
        <v>24</v>
      </c>
      <c r="I1150" s="56">
        <v>2</v>
      </c>
      <c r="J1150" s="56" t="s">
        <v>24</v>
      </c>
      <c r="K1150" s="25">
        <v>2</v>
      </c>
      <c r="L1150" s="32" t="s">
        <v>12</v>
      </c>
      <c r="M1150" s="49">
        <f t="shared" si="21"/>
        <v>13.44</v>
      </c>
      <c r="N1150" s="10" t="s">
        <v>25</v>
      </c>
      <c r="P1150" s="11"/>
      <c r="Q1150" s="6"/>
    </row>
    <row r="1151" spans="1:17" s="7" customFormat="1" ht="66" customHeight="1" x14ac:dyDescent="0.25">
      <c r="A1151" s="8"/>
      <c r="B1151" s="9"/>
      <c r="C1151" s="22" t="s">
        <v>81</v>
      </c>
      <c r="D1151" s="24" t="s">
        <v>12</v>
      </c>
      <c r="E1151" s="48">
        <v>1.4</v>
      </c>
      <c r="F1151" s="48" t="s">
        <v>24</v>
      </c>
      <c r="G1151" s="56">
        <v>2.8</v>
      </c>
      <c r="H1151" s="56" t="s">
        <v>24</v>
      </c>
      <c r="I1151" s="56">
        <v>1</v>
      </c>
      <c r="J1151" s="56" t="s">
        <v>24</v>
      </c>
      <c r="K1151" s="25">
        <v>2</v>
      </c>
      <c r="L1151" s="32" t="s">
        <v>12</v>
      </c>
      <c r="M1151" s="49">
        <f t="shared" si="21"/>
        <v>7.839999999999999</v>
      </c>
      <c r="N1151" s="10" t="s">
        <v>25</v>
      </c>
      <c r="P1151" s="11"/>
      <c r="Q1151" s="6"/>
    </row>
    <row r="1152" spans="1:17" s="7" customFormat="1" ht="66" customHeight="1" x14ac:dyDescent="0.25">
      <c r="A1152" s="8"/>
      <c r="B1152" s="9"/>
      <c r="C1152" s="22" t="s">
        <v>82</v>
      </c>
      <c r="D1152" s="24" t="s">
        <v>12</v>
      </c>
      <c r="E1152" s="48">
        <v>1.4</v>
      </c>
      <c r="F1152" s="48" t="s">
        <v>24</v>
      </c>
      <c r="G1152" s="56">
        <v>2.4</v>
      </c>
      <c r="H1152" s="56" t="s">
        <v>24</v>
      </c>
      <c r="I1152" s="56">
        <v>2</v>
      </c>
      <c r="J1152" s="56" t="s">
        <v>24</v>
      </c>
      <c r="K1152" s="25">
        <v>2</v>
      </c>
      <c r="L1152" s="32" t="s">
        <v>12</v>
      </c>
      <c r="M1152" s="49">
        <f t="shared" si="21"/>
        <v>13.44</v>
      </c>
      <c r="N1152" s="10" t="s">
        <v>25</v>
      </c>
      <c r="P1152" s="11"/>
      <c r="Q1152" s="6"/>
    </row>
    <row r="1153" spans="1:17" s="7" customFormat="1" ht="66" customHeight="1" x14ac:dyDescent="0.25">
      <c r="A1153" s="8"/>
      <c r="B1153" s="9"/>
      <c r="C1153" s="22" t="s">
        <v>83</v>
      </c>
      <c r="D1153" s="24" t="s">
        <v>12</v>
      </c>
      <c r="E1153" s="48">
        <v>1.4</v>
      </c>
      <c r="F1153" s="48" t="s">
        <v>24</v>
      </c>
      <c r="G1153" s="56">
        <v>2.8</v>
      </c>
      <c r="H1153" s="56" t="s">
        <v>24</v>
      </c>
      <c r="I1153" s="56">
        <v>1</v>
      </c>
      <c r="J1153" s="56" t="s">
        <v>24</v>
      </c>
      <c r="K1153" s="25">
        <v>2</v>
      </c>
      <c r="L1153" s="32" t="s">
        <v>12</v>
      </c>
      <c r="M1153" s="49">
        <f t="shared" si="21"/>
        <v>7.839999999999999</v>
      </c>
      <c r="N1153" s="10" t="s">
        <v>25</v>
      </c>
      <c r="P1153" s="11"/>
      <c r="Q1153" s="6"/>
    </row>
    <row r="1154" spans="1:17" s="7" customFormat="1" ht="66" customHeight="1" x14ac:dyDescent="0.25">
      <c r="A1154" s="8"/>
      <c r="B1154" s="9"/>
      <c r="C1154" s="22" t="s">
        <v>84</v>
      </c>
      <c r="D1154" s="24" t="s">
        <v>12</v>
      </c>
      <c r="E1154" s="48">
        <v>1.4</v>
      </c>
      <c r="F1154" s="48" t="s">
        <v>24</v>
      </c>
      <c r="G1154" s="56">
        <v>2.8</v>
      </c>
      <c r="H1154" s="56" t="s">
        <v>24</v>
      </c>
      <c r="I1154" s="56">
        <v>2</v>
      </c>
      <c r="J1154" s="56" t="s">
        <v>24</v>
      </c>
      <c r="K1154" s="25">
        <v>2</v>
      </c>
      <c r="L1154" s="32" t="s">
        <v>12</v>
      </c>
      <c r="M1154" s="49">
        <f t="shared" si="21"/>
        <v>15.679999999999998</v>
      </c>
      <c r="N1154" s="10" t="s">
        <v>25</v>
      </c>
      <c r="P1154" s="11"/>
      <c r="Q1154" s="6"/>
    </row>
    <row r="1155" spans="1:17" s="7" customFormat="1" ht="66" customHeight="1" x14ac:dyDescent="0.25">
      <c r="A1155" s="8"/>
      <c r="B1155" s="9"/>
      <c r="C1155" s="22" t="s">
        <v>85</v>
      </c>
      <c r="D1155" s="24" t="s">
        <v>12</v>
      </c>
      <c r="E1155" s="48">
        <v>1.4</v>
      </c>
      <c r="F1155" s="48" t="s">
        <v>24</v>
      </c>
      <c r="G1155" s="56">
        <v>2.8</v>
      </c>
      <c r="H1155" s="56" t="s">
        <v>24</v>
      </c>
      <c r="I1155" s="56">
        <v>1</v>
      </c>
      <c r="J1155" s="56" t="s">
        <v>24</v>
      </c>
      <c r="K1155" s="25">
        <v>2</v>
      </c>
      <c r="L1155" s="32" t="s">
        <v>12</v>
      </c>
      <c r="M1155" s="49">
        <f t="shared" si="21"/>
        <v>7.839999999999999</v>
      </c>
      <c r="N1155" s="10" t="s">
        <v>25</v>
      </c>
      <c r="P1155" s="11"/>
      <c r="Q1155" s="6"/>
    </row>
    <row r="1156" spans="1:17" s="7" customFormat="1" ht="66" customHeight="1" x14ac:dyDescent="0.25">
      <c r="A1156" s="8"/>
      <c r="B1156" s="9"/>
      <c r="C1156" s="22" t="s">
        <v>86</v>
      </c>
      <c r="D1156" s="24" t="s">
        <v>12</v>
      </c>
      <c r="E1156" s="48">
        <v>1.4</v>
      </c>
      <c r="F1156" s="48" t="s">
        <v>24</v>
      </c>
      <c r="G1156" s="56">
        <v>2.8</v>
      </c>
      <c r="H1156" s="56" t="s">
        <v>24</v>
      </c>
      <c r="I1156" s="56">
        <v>4</v>
      </c>
      <c r="J1156" s="56" t="s">
        <v>24</v>
      </c>
      <c r="K1156" s="25">
        <v>2</v>
      </c>
      <c r="L1156" s="32" t="s">
        <v>12</v>
      </c>
      <c r="M1156" s="49">
        <f t="shared" si="21"/>
        <v>31.359999999999996</v>
      </c>
      <c r="N1156" s="10" t="s">
        <v>25</v>
      </c>
      <c r="P1156" s="11"/>
      <c r="Q1156" s="6"/>
    </row>
    <row r="1157" spans="1:17" s="7" customFormat="1" ht="66" customHeight="1" x14ac:dyDescent="0.25">
      <c r="A1157" s="8"/>
      <c r="B1157" s="9"/>
      <c r="C1157" s="22" t="s">
        <v>87</v>
      </c>
      <c r="D1157" s="24" t="s">
        <v>12</v>
      </c>
      <c r="E1157" s="48">
        <v>1.4</v>
      </c>
      <c r="F1157" s="48" t="s">
        <v>24</v>
      </c>
      <c r="G1157" s="56">
        <v>2.8</v>
      </c>
      <c r="H1157" s="56" t="s">
        <v>24</v>
      </c>
      <c r="I1157" s="56">
        <v>1</v>
      </c>
      <c r="J1157" s="56" t="s">
        <v>24</v>
      </c>
      <c r="K1157" s="25">
        <v>2</v>
      </c>
      <c r="L1157" s="32" t="s">
        <v>12</v>
      </c>
      <c r="M1157" s="49">
        <f t="shared" si="21"/>
        <v>7.839999999999999</v>
      </c>
      <c r="N1157" s="10" t="s">
        <v>25</v>
      </c>
      <c r="P1157" s="11"/>
      <c r="Q1157" s="6"/>
    </row>
    <row r="1158" spans="1:17" s="7" customFormat="1" ht="66" customHeight="1" x14ac:dyDescent="0.25">
      <c r="A1158" s="8"/>
      <c r="B1158" s="9"/>
      <c r="C1158" s="22" t="s">
        <v>88</v>
      </c>
      <c r="D1158" s="24" t="s">
        <v>12</v>
      </c>
      <c r="E1158" s="48">
        <v>1.4</v>
      </c>
      <c r="F1158" s="48" t="s">
        <v>24</v>
      </c>
      <c r="G1158" s="56">
        <v>2.4</v>
      </c>
      <c r="H1158" s="56" t="s">
        <v>24</v>
      </c>
      <c r="I1158" s="56">
        <v>1</v>
      </c>
      <c r="J1158" s="56" t="s">
        <v>24</v>
      </c>
      <c r="K1158" s="25">
        <v>2</v>
      </c>
      <c r="L1158" s="32" t="s">
        <v>12</v>
      </c>
      <c r="M1158" s="49">
        <f t="shared" si="21"/>
        <v>6.72</v>
      </c>
      <c r="N1158" s="10" t="s">
        <v>25</v>
      </c>
      <c r="P1158" s="11"/>
      <c r="Q1158" s="6"/>
    </row>
    <row r="1159" spans="1:17" s="7" customFormat="1" ht="66" customHeight="1" x14ac:dyDescent="0.25">
      <c r="A1159" s="8"/>
      <c r="B1159" s="9"/>
      <c r="C1159" s="22" t="s">
        <v>89</v>
      </c>
      <c r="D1159" s="24" t="s">
        <v>12</v>
      </c>
      <c r="E1159" s="48">
        <v>1.4</v>
      </c>
      <c r="F1159" s="48" t="s">
        <v>24</v>
      </c>
      <c r="G1159" s="56">
        <v>2.4</v>
      </c>
      <c r="H1159" s="56" t="s">
        <v>24</v>
      </c>
      <c r="I1159" s="56">
        <v>1</v>
      </c>
      <c r="J1159" s="56" t="s">
        <v>24</v>
      </c>
      <c r="K1159" s="25">
        <v>2</v>
      </c>
      <c r="L1159" s="32" t="s">
        <v>12</v>
      </c>
      <c r="M1159" s="49">
        <f t="shared" si="21"/>
        <v>6.72</v>
      </c>
      <c r="N1159" s="10" t="s">
        <v>25</v>
      </c>
      <c r="P1159" s="11"/>
      <c r="Q1159" s="6"/>
    </row>
    <row r="1160" spans="1:17" s="7" customFormat="1" ht="66" customHeight="1" x14ac:dyDescent="0.25">
      <c r="A1160" s="8"/>
      <c r="B1160" s="9"/>
      <c r="C1160" s="22" t="s">
        <v>90</v>
      </c>
      <c r="D1160" s="24" t="s">
        <v>12</v>
      </c>
      <c r="E1160" s="48">
        <v>1.4</v>
      </c>
      <c r="F1160" s="48" t="s">
        <v>24</v>
      </c>
      <c r="G1160" s="56">
        <v>2.4</v>
      </c>
      <c r="H1160" s="56" t="s">
        <v>24</v>
      </c>
      <c r="I1160" s="56">
        <v>2</v>
      </c>
      <c r="J1160" s="56" t="s">
        <v>24</v>
      </c>
      <c r="K1160" s="25">
        <v>2</v>
      </c>
      <c r="L1160" s="32" t="s">
        <v>12</v>
      </c>
      <c r="M1160" s="49">
        <f t="shared" si="21"/>
        <v>13.44</v>
      </c>
      <c r="N1160" s="10" t="s">
        <v>25</v>
      </c>
      <c r="P1160" s="11"/>
      <c r="Q1160" s="6"/>
    </row>
    <row r="1161" spans="1:17" s="7" customFormat="1" ht="66" customHeight="1" x14ac:dyDescent="0.25">
      <c r="A1161" s="8"/>
      <c r="B1161" s="9"/>
      <c r="C1161" s="22" t="s">
        <v>91</v>
      </c>
      <c r="D1161" s="24" t="s">
        <v>12</v>
      </c>
      <c r="E1161" s="48">
        <v>1.4</v>
      </c>
      <c r="F1161" s="48" t="s">
        <v>24</v>
      </c>
      <c r="G1161" s="56">
        <v>2.4</v>
      </c>
      <c r="H1161" s="56" t="s">
        <v>24</v>
      </c>
      <c r="I1161" s="56">
        <v>2</v>
      </c>
      <c r="J1161" s="56" t="s">
        <v>24</v>
      </c>
      <c r="K1161" s="25">
        <v>2</v>
      </c>
      <c r="L1161" s="32" t="s">
        <v>12</v>
      </c>
      <c r="M1161" s="49">
        <f t="shared" si="21"/>
        <v>13.44</v>
      </c>
      <c r="N1161" s="10" t="s">
        <v>25</v>
      </c>
      <c r="P1161" s="11"/>
      <c r="Q1161" s="6"/>
    </row>
    <row r="1162" spans="1:17" s="7" customFormat="1" ht="66" customHeight="1" x14ac:dyDescent="0.25">
      <c r="A1162" s="8"/>
      <c r="B1162" s="9"/>
      <c r="C1162" s="22" t="s">
        <v>182</v>
      </c>
      <c r="D1162" s="24" t="s">
        <v>12</v>
      </c>
      <c r="E1162" s="48">
        <v>0.45</v>
      </c>
      <c r="F1162" s="48" t="s">
        <v>24</v>
      </c>
      <c r="G1162" s="56">
        <v>1.4</v>
      </c>
      <c r="H1162" s="56" t="s">
        <v>24</v>
      </c>
      <c r="I1162" s="56">
        <v>4</v>
      </c>
      <c r="J1162" s="56" t="s">
        <v>24</v>
      </c>
      <c r="K1162" s="25">
        <v>2</v>
      </c>
      <c r="L1162" s="32" t="s">
        <v>12</v>
      </c>
      <c r="M1162" s="49">
        <f t="shared" si="21"/>
        <v>5.04</v>
      </c>
      <c r="N1162" s="10" t="s">
        <v>25</v>
      </c>
      <c r="P1162" s="11"/>
      <c r="Q1162" s="6"/>
    </row>
    <row r="1163" spans="1:17" s="7" customFormat="1" ht="66" customHeight="1" x14ac:dyDescent="0.25">
      <c r="A1163" s="8"/>
      <c r="B1163" s="9"/>
      <c r="C1163" s="22" t="s">
        <v>92</v>
      </c>
      <c r="D1163" s="24" t="s">
        <v>12</v>
      </c>
      <c r="E1163" s="48">
        <v>1.4</v>
      </c>
      <c r="F1163" s="48" t="s">
        <v>24</v>
      </c>
      <c r="G1163" s="56">
        <v>2.4</v>
      </c>
      <c r="H1163" s="56" t="s">
        <v>24</v>
      </c>
      <c r="I1163" s="56">
        <v>1</v>
      </c>
      <c r="J1163" s="56" t="s">
        <v>24</v>
      </c>
      <c r="K1163" s="25">
        <v>2</v>
      </c>
      <c r="L1163" s="32" t="s">
        <v>12</v>
      </c>
      <c r="M1163" s="49">
        <f t="shared" si="21"/>
        <v>6.72</v>
      </c>
      <c r="N1163" s="10" t="s">
        <v>25</v>
      </c>
      <c r="P1163" s="11"/>
      <c r="Q1163" s="6"/>
    </row>
    <row r="1164" spans="1:17" s="7" customFormat="1" ht="66" customHeight="1" x14ac:dyDescent="0.25">
      <c r="A1164" s="8"/>
      <c r="B1164" s="9"/>
      <c r="C1164" s="22" t="s">
        <v>93</v>
      </c>
      <c r="D1164" s="24" t="s">
        <v>12</v>
      </c>
      <c r="E1164" s="48">
        <v>1.4</v>
      </c>
      <c r="F1164" s="48" t="s">
        <v>24</v>
      </c>
      <c r="G1164" s="56">
        <v>2.4</v>
      </c>
      <c r="H1164" s="56" t="s">
        <v>24</v>
      </c>
      <c r="I1164" s="56">
        <v>1</v>
      </c>
      <c r="J1164" s="56" t="s">
        <v>24</v>
      </c>
      <c r="K1164" s="25">
        <v>1</v>
      </c>
      <c r="L1164" s="32" t="s">
        <v>12</v>
      </c>
      <c r="M1164" s="49">
        <f t="shared" si="21"/>
        <v>3.36</v>
      </c>
      <c r="N1164" s="10" t="s">
        <v>25</v>
      </c>
      <c r="P1164" s="11"/>
      <c r="Q1164" s="6"/>
    </row>
    <row r="1165" spans="1:17" s="7" customFormat="1" ht="66" customHeight="1" x14ac:dyDescent="0.25">
      <c r="A1165" s="8"/>
      <c r="B1165" s="9"/>
      <c r="C1165" s="22" t="s">
        <v>94</v>
      </c>
      <c r="D1165" s="24" t="s">
        <v>12</v>
      </c>
      <c r="E1165" s="48">
        <v>1.4</v>
      </c>
      <c r="F1165" s="48" t="s">
        <v>24</v>
      </c>
      <c r="G1165" s="56">
        <v>2.4</v>
      </c>
      <c r="H1165" s="56" t="s">
        <v>24</v>
      </c>
      <c r="I1165" s="56">
        <v>2</v>
      </c>
      <c r="J1165" s="56" t="s">
        <v>24</v>
      </c>
      <c r="K1165" s="25">
        <v>2</v>
      </c>
      <c r="L1165" s="32" t="s">
        <v>12</v>
      </c>
      <c r="M1165" s="49">
        <f t="shared" si="21"/>
        <v>13.44</v>
      </c>
      <c r="N1165" s="10" t="s">
        <v>25</v>
      </c>
      <c r="P1165" s="11"/>
      <c r="Q1165" s="6"/>
    </row>
    <row r="1166" spans="1:17" s="7" customFormat="1" ht="66" customHeight="1" x14ac:dyDescent="0.25">
      <c r="A1166" s="8"/>
      <c r="B1166" s="9"/>
      <c r="C1166" s="22" t="s">
        <v>95</v>
      </c>
      <c r="D1166" s="24" t="s">
        <v>12</v>
      </c>
      <c r="E1166" s="48">
        <v>1.4</v>
      </c>
      <c r="F1166" s="48" t="s">
        <v>24</v>
      </c>
      <c r="G1166" s="56">
        <v>2.4</v>
      </c>
      <c r="H1166" s="56" t="s">
        <v>24</v>
      </c>
      <c r="I1166" s="56">
        <v>4</v>
      </c>
      <c r="J1166" s="56" t="s">
        <v>24</v>
      </c>
      <c r="K1166" s="25">
        <v>2</v>
      </c>
      <c r="L1166" s="32" t="s">
        <v>12</v>
      </c>
      <c r="M1166" s="49">
        <f t="shared" si="21"/>
        <v>26.88</v>
      </c>
      <c r="N1166" s="10" t="s">
        <v>25</v>
      </c>
      <c r="P1166" s="11"/>
      <c r="Q1166" s="6"/>
    </row>
    <row r="1167" spans="1:17" s="7" customFormat="1" ht="66" customHeight="1" x14ac:dyDescent="0.25">
      <c r="A1167" s="8"/>
      <c r="B1167" s="9"/>
      <c r="C1167" s="22" t="s">
        <v>96</v>
      </c>
      <c r="D1167" s="24" t="s">
        <v>12</v>
      </c>
      <c r="E1167" s="48">
        <v>1.4</v>
      </c>
      <c r="F1167" s="48" t="s">
        <v>24</v>
      </c>
      <c r="G1167" s="56">
        <v>2.4</v>
      </c>
      <c r="H1167" s="56" t="s">
        <v>24</v>
      </c>
      <c r="I1167" s="56">
        <v>2</v>
      </c>
      <c r="J1167" s="56" t="s">
        <v>24</v>
      </c>
      <c r="K1167" s="25">
        <v>1</v>
      </c>
      <c r="L1167" s="32" t="s">
        <v>12</v>
      </c>
      <c r="M1167" s="49">
        <f t="shared" si="21"/>
        <v>6.72</v>
      </c>
      <c r="N1167" s="10" t="s">
        <v>25</v>
      </c>
      <c r="P1167" s="11"/>
      <c r="Q1167" s="6"/>
    </row>
    <row r="1168" spans="1:17" s="7" customFormat="1" ht="66" customHeight="1" x14ac:dyDescent="0.25">
      <c r="A1168" s="8"/>
      <c r="B1168" s="9"/>
      <c r="C1168" s="22" t="s">
        <v>97</v>
      </c>
      <c r="D1168" s="24" t="s">
        <v>12</v>
      </c>
      <c r="E1168" s="48">
        <v>1.4</v>
      </c>
      <c r="F1168" s="48" t="s">
        <v>24</v>
      </c>
      <c r="G1168" s="56">
        <v>2.4</v>
      </c>
      <c r="H1168" s="56" t="s">
        <v>24</v>
      </c>
      <c r="I1168" s="56">
        <v>1</v>
      </c>
      <c r="J1168" s="56" t="s">
        <v>24</v>
      </c>
      <c r="K1168" s="25">
        <v>2</v>
      </c>
      <c r="L1168" s="32" t="s">
        <v>12</v>
      </c>
      <c r="M1168" s="49">
        <f t="shared" si="21"/>
        <v>6.72</v>
      </c>
      <c r="N1168" s="10" t="s">
        <v>25</v>
      </c>
      <c r="P1168" s="11"/>
      <c r="Q1168" s="6"/>
    </row>
    <row r="1169" spans="1:17" s="7" customFormat="1" ht="66" customHeight="1" x14ac:dyDescent="0.25">
      <c r="A1169" s="8"/>
      <c r="B1169" s="9"/>
      <c r="C1169" s="22" t="s">
        <v>98</v>
      </c>
      <c r="D1169" s="24" t="s">
        <v>12</v>
      </c>
      <c r="E1169" s="48">
        <v>1.4</v>
      </c>
      <c r="F1169" s="48" t="s">
        <v>24</v>
      </c>
      <c r="G1169" s="56">
        <v>2.4</v>
      </c>
      <c r="H1169" s="56" t="s">
        <v>24</v>
      </c>
      <c r="I1169" s="56">
        <v>1</v>
      </c>
      <c r="J1169" s="56" t="s">
        <v>24</v>
      </c>
      <c r="K1169" s="25">
        <v>2</v>
      </c>
      <c r="L1169" s="32" t="s">
        <v>12</v>
      </c>
      <c r="M1169" s="49">
        <f>E1169*G1169*I1169*K1169</f>
        <v>6.72</v>
      </c>
      <c r="N1169" s="10" t="s">
        <v>25</v>
      </c>
      <c r="P1169" s="11"/>
      <c r="Q1169" s="6"/>
    </row>
    <row r="1170" spans="1:17" s="7" customFormat="1" ht="66" customHeight="1" x14ac:dyDescent="0.25">
      <c r="A1170" s="8"/>
      <c r="B1170" s="9"/>
      <c r="C1170" s="22" t="s">
        <v>99</v>
      </c>
      <c r="D1170" s="24" t="s">
        <v>12</v>
      </c>
      <c r="E1170" s="48">
        <v>1.4</v>
      </c>
      <c r="F1170" s="48" t="s">
        <v>24</v>
      </c>
      <c r="G1170" s="56">
        <v>2.4</v>
      </c>
      <c r="H1170" s="56" t="s">
        <v>24</v>
      </c>
      <c r="I1170" s="56">
        <v>1</v>
      </c>
      <c r="J1170" s="56" t="s">
        <v>24</v>
      </c>
      <c r="K1170" s="25">
        <v>2</v>
      </c>
      <c r="L1170" s="32" t="s">
        <v>12</v>
      </c>
      <c r="M1170" s="49">
        <f>E1170*G1170*I1170*K1170</f>
        <v>6.72</v>
      </c>
      <c r="N1170" s="10" t="s">
        <v>25</v>
      </c>
      <c r="P1170" s="11"/>
      <c r="Q1170" s="6"/>
    </row>
    <row r="1171" spans="1:17" s="7" customFormat="1" ht="66" customHeight="1" x14ac:dyDescent="0.25">
      <c r="A1171" s="8"/>
      <c r="B1171" s="9"/>
      <c r="C1171" s="22" t="s">
        <v>100</v>
      </c>
      <c r="D1171" s="24" t="s">
        <v>12</v>
      </c>
      <c r="E1171" s="48">
        <v>1.4</v>
      </c>
      <c r="F1171" s="48" t="s">
        <v>24</v>
      </c>
      <c r="G1171" s="56">
        <v>2.4</v>
      </c>
      <c r="H1171" s="56" t="s">
        <v>24</v>
      </c>
      <c r="I1171" s="56">
        <v>2</v>
      </c>
      <c r="J1171" s="56" t="s">
        <v>24</v>
      </c>
      <c r="K1171" s="25">
        <v>2</v>
      </c>
      <c r="L1171" s="32" t="s">
        <v>12</v>
      </c>
      <c r="M1171" s="49">
        <f>E1171*G1171*I1171*K1171</f>
        <v>13.44</v>
      </c>
      <c r="N1171" s="10" t="s">
        <v>25</v>
      </c>
      <c r="P1171" s="11"/>
      <c r="Q1171" s="6"/>
    </row>
    <row r="1172" spans="1:17" s="7" customFormat="1" ht="66" customHeight="1" x14ac:dyDescent="0.25">
      <c r="A1172" s="8"/>
      <c r="B1172" s="9"/>
      <c r="C1172" s="22" t="s">
        <v>101</v>
      </c>
      <c r="D1172" s="24" t="s">
        <v>12</v>
      </c>
      <c r="E1172" s="48">
        <v>1.4</v>
      </c>
      <c r="F1172" s="48" t="s">
        <v>24</v>
      </c>
      <c r="G1172" s="56">
        <v>2.4</v>
      </c>
      <c r="H1172" s="56" t="s">
        <v>24</v>
      </c>
      <c r="I1172" s="56">
        <v>2</v>
      </c>
      <c r="J1172" s="56" t="s">
        <v>24</v>
      </c>
      <c r="K1172" s="25">
        <v>2</v>
      </c>
      <c r="L1172" s="32" t="s">
        <v>12</v>
      </c>
      <c r="M1172" s="49">
        <f>E1172*G1172*I1172*K1172</f>
        <v>13.44</v>
      </c>
      <c r="N1172" s="10" t="s">
        <v>25</v>
      </c>
      <c r="P1172" s="11"/>
      <c r="Q1172" s="6"/>
    </row>
    <row r="1173" spans="1:17" s="7" customFormat="1" ht="66" customHeight="1" x14ac:dyDescent="0.25">
      <c r="A1173" s="8"/>
      <c r="B1173" s="9"/>
      <c r="C1173" s="22"/>
      <c r="D1173" s="24"/>
      <c r="E1173" s="48"/>
      <c r="F1173" s="48"/>
      <c r="G1173" s="56"/>
      <c r="H1173" s="56"/>
      <c r="I1173" s="56"/>
      <c r="J1173" s="56"/>
      <c r="K1173" s="25"/>
      <c r="L1173" s="32"/>
      <c r="M1173" s="49"/>
      <c r="N1173" s="10"/>
      <c r="P1173" s="11"/>
      <c r="Q1173" s="6"/>
    </row>
    <row r="1174" spans="1:17" s="7" customFormat="1" ht="66" customHeight="1" x14ac:dyDescent="0.25">
      <c r="A1174" s="8"/>
      <c r="B1174" s="9"/>
      <c r="C1174" s="22" t="s">
        <v>340</v>
      </c>
      <c r="D1174" s="24"/>
      <c r="E1174" s="48" t="s">
        <v>57</v>
      </c>
      <c r="F1174" s="48"/>
      <c r="G1174" s="56"/>
      <c r="H1174" s="56"/>
      <c r="I1174" s="56"/>
      <c r="J1174" s="56"/>
      <c r="K1174" s="25"/>
      <c r="L1174" s="32"/>
      <c r="M1174" s="49"/>
      <c r="N1174" s="10"/>
      <c r="P1174" s="11"/>
      <c r="Q1174" s="6"/>
    </row>
    <row r="1175" spans="1:17" s="7" customFormat="1" ht="66" customHeight="1" x14ac:dyDescent="0.25">
      <c r="A1175" s="8"/>
      <c r="B1175" s="9"/>
      <c r="C1175" s="22"/>
      <c r="D1175" s="24"/>
      <c r="E1175" s="48"/>
      <c r="F1175" s="48"/>
      <c r="G1175" s="56"/>
      <c r="H1175" s="56"/>
      <c r="I1175" s="56"/>
      <c r="J1175" s="56"/>
      <c r="K1175" s="25"/>
      <c r="L1175" s="32"/>
      <c r="M1175" s="49"/>
      <c r="N1175" s="10"/>
      <c r="P1175" s="11"/>
      <c r="Q1175" s="6"/>
    </row>
    <row r="1176" spans="1:17" s="7" customFormat="1" ht="66" customHeight="1" x14ac:dyDescent="0.25">
      <c r="A1176" s="8"/>
      <c r="B1176" s="9"/>
      <c r="C1176" s="22" t="s">
        <v>58</v>
      </c>
      <c r="D1176" s="24" t="s">
        <v>12</v>
      </c>
      <c r="E1176" s="48">
        <v>42.3</v>
      </c>
      <c r="F1176" s="48" t="s">
        <v>25</v>
      </c>
      <c r="G1176" s="56"/>
      <c r="H1176" s="56"/>
      <c r="I1176" s="56"/>
      <c r="J1176" s="56"/>
      <c r="K1176" s="25"/>
      <c r="L1176" s="32"/>
      <c r="M1176" s="49"/>
      <c r="N1176" s="10"/>
      <c r="P1176" s="11"/>
      <c r="Q1176" s="6"/>
    </row>
    <row r="1177" spans="1:17" s="7" customFormat="1" ht="66" customHeight="1" x14ac:dyDescent="0.25">
      <c r="A1177" s="8"/>
      <c r="B1177" s="9"/>
      <c r="C1177" s="22" t="s">
        <v>59</v>
      </c>
      <c r="D1177" s="24" t="s">
        <v>12</v>
      </c>
      <c r="E1177" s="48">
        <v>41.1</v>
      </c>
      <c r="F1177" s="48" t="s">
        <v>25</v>
      </c>
      <c r="G1177" s="56"/>
      <c r="H1177" s="56"/>
      <c r="I1177" s="56"/>
      <c r="J1177" s="56"/>
      <c r="K1177" s="25"/>
      <c r="L1177" s="32"/>
      <c r="M1177" s="49"/>
      <c r="N1177" s="10"/>
      <c r="P1177" s="11"/>
      <c r="Q1177" s="6"/>
    </row>
    <row r="1178" spans="1:17" s="7" customFormat="1" ht="66" customHeight="1" x14ac:dyDescent="0.25">
      <c r="A1178" s="8"/>
      <c r="B1178" s="9"/>
      <c r="C1178" s="22" t="s">
        <v>60</v>
      </c>
      <c r="D1178" s="24" t="s">
        <v>12</v>
      </c>
      <c r="E1178" s="48">
        <v>17.41</v>
      </c>
      <c r="F1178" s="48" t="s">
        <v>25</v>
      </c>
      <c r="G1178" s="56"/>
      <c r="H1178" s="56"/>
      <c r="I1178" s="56"/>
      <c r="J1178" s="56"/>
      <c r="K1178" s="25"/>
      <c r="L1178" s="32"/>
      <c r="M1178" s="49"/>
      <c r="N1178" s="10"/>
      <c r="P1178" s="11"/>
      <c r="Q1178" s="6"/>
    </row>
    <row r="1179" spans="1:17" s="7" customFormat="1" ht="66" customHeight="1" x14ac:dyDescent="0.25">
      <c r="A1179" s="8"/>
      <c r="B1179" s="9"/>
      <c r="C1179" s="22" t="s">
        <v>61</v>
      </c>
      <c r="D1179" s="24" t="s">
        <v>12</v>
      </c>
      <c r="E1179" s="48">
        <v>46.67</v>
      </c>
      <c r="F1179" s="48" t="s">
        <v>25</v>
      </c>
      <c r="G1179" s="56"/>
      <c r="H1179" s="56"/>
      <c r="I1179" s="56"/>
      <c r="J1179" s="56"/>
      <c r="K1179" s="25"/>
      <c r="L1179" s="32"/>
      <c r="M1179" s="49"/>
      <c r="N1179" s="10"/>
      <c r="P1179" s="11"/>
      <c r="Q1179" s="6"/>
    </row>
    <row r="1180" spans="1:17" s="7" customFormat="1" ht="66" customHeight="1" x14ac:dyDescent="0.25">
      <c r="A1180" s="8"/>
      <c r="B1180" s="9"/>
      <c r="C1180" s="22" t="s">
        <v>62</v>
      </c>
      <c r="D1180" s="24" t="s">
        <v>12</v>
      </c>
      <c r="E1180" s="48">
        <v>15.59</v>
      </c>
      <c r="F1180" s="48" t="s">
        <v>25</v>
      </c>
      <c r="G1180" s="56"/>
      <c r="H1180" s="56"/>
      <c r="I1180" s="56"/>
      <c r="J1180" s="56"/>
      <c r="K1180" s="25"/>
      <c r="L1180" s="32"/>
      <c r="M1180" s="49"/>
      <c r="N1180" s="10"/>
      <c r="P1180" s="11"/>
      <c r="Q1180" s="6"/>
    </row>
    <row r="1181" spans="1:17" s="7" customFormat="1" ht="66" customHeight="1" x14ac:dyDescent="0.25">
      <c r="A1181" s="8"/>
      <c r="B1181" s="9"/>
      <c r="C1181" s="22" t="s">
        <v>63</v>
      </c>
      <c r="D1181" s="24" t="s">
        <v>12</v>
      </c>
      <c r="E1181" s="48">
        <v>59.05</v>
      </c>
      <c r="F1181" s="48" t="s">
        <v>25</v>
      </c>
      <c r="G1181" s="56"/>
      <c r="H1181" s="56"/>
      <c r="I1181" s="56"/>
      <c r="J1181" s="56"/>
      <c r="K1181" s="25"/>
      <c r="L1181" s="32"/>
      <c r="M1181" s="49"/>
      <c r="N1181" s="10"/>
      <c r="P1181" s="11"/>
      <c r="Q1181" s="6"/>
    </row>
    <row r="1182" spans="1:17" s="7" customFormat="1" ht="66" customHeight="1" x14ac:dyDescent="0.25">
      <c r="A1182" s="8"/>
      <c r="B1182" s="9"/>
      <c r="C1182" s="22" t="s">
        <v>64</v>
      </c>
      <c r="D1182" s="24" t="s">
        <v>12</v>
      </c>
      <c r="E1182" s="48">
        <v>58.56</v>
      </c>
      <c r="F1182" s="48" t="s">
        <v>25</v>
      </c>
      <c r="G1182" s="56"/>
      <c r="H1182" s="56"/>
      <c r="I1182" s="56"/>
      <c r="J1182" s="56"/>
      <c r="K1182" s="25"/>
      <c r="L1182" s="32"/>
      <c r="M1182" s="49"/>
      <c r="N1182" s="10"/>
      <c r="P1182" s="11"/>
      <c r="Q1182" s="6"/>
    </row>
    <row r="1183" spans="1:17" s="7" customFormat="1" ht="66" customHeight="1" x14ac:dyDescent="0.25">
      <c r="A1183" s="8"/>
      <c r="B1183" s="9"/>
      <c r="C1183" s="22" t="s">
        <v>65</v>
      </c>
      <c r="D1183" s="24" t="s">
        <v>12</v>
      </c>
      <c r="E1183" s="48">
        <v>18.489999999999998</v>
      </c>
      <c r="F1183" s="48" t="s">
        <v>25</v>
      </c>
      <c r="G1183" s="56"/>
      <c r="H1183" s="56"/>
      <c r="I1183" s="56"/>
      <c r="J1183" s="56"/>
      <c r="K1183" s="25"/>
      <c r="L1183" s="32"/>
      <c r="M1183" s="49"/>
      <c r="N1183" s="10"/>
      <c r="P1183" s="11"/>
      <c r="Q1183" s="6"/>
    </row>
    <row r="1184" spans="1:17" s="7" customFormat="1" ht="66" customHeight="1" x14ac:dyDescent="0.25">
      <c r="A1184" s="8"/>
      <c r="B1184" s="9"/>
      <c r="C1184" s="22" t="s">
        <v>66</v>
      </c>
      <c r="D1184" s="24" t="s">
        <v>12</v>
      </c>
      <c r="E1184" s="48">
        <v>117.12</v>
      </c>
      <c r="F1184" s="48" t="s">
        <v>25</v>
      </c>
      <c r="G1184" s="56"/>
      <c r="H1184" s="56"/>
      <c r="I1184" s="56"/>
      <c r="J1184" s="56"/>
      <c r="K1184" s="25"/>
      <c r="L1184" s="32"/>
      <c r="M1184" s="49"/>
      <c r="N1184" s="10"/>
      <c r="P1184" s="11"/>
      <c r="Q1184" s="6"/>
    </row>
    <row r="1185" spans="1:17" s="7" customFormat="1" ht="66" customHeight="1" x14ac:dyDescent="0.25">
      <c r="A1185" s="8"/>
      <c r="B1185" s="9"/>
      <c r="C1185" s="22" t="s">
        <v>67</v>
      </c>
      <c r="D1185" s="24" t="s">
        <v>12</v>
      </c>
      <c r="E1185" s="48">
        <v>5.98</v>
      </c>
      <c r="F1185" s="48" t="s">
        <v>25</v>
      </c>
      <c r="G1185" s="56"/>
      <c r="H1185" s="56"/>
      <c r="I1185" s="56"/>
      <c r="J1185" s="56"/>
      <c r="K1185" s="25"/>
      <c r="L1185" s="32"/>
      <c r="M1185" s="49"/>
      <c r="N1185" s="10"/>
      <c r="P1185" s="11"/>
      <c r="Q1185" s="6"/>
    </row>
    <row r="1186" spans="1:17" s="7" customFormat="1" ht="66" customHeight="1" x14ac:dyDescent="0.25">
      <c r="A1186" s="8"/>
      <c r="B1186" s="9"/>
      <c r="C1186" s="22" t="s">
        <v>68</v>
      </c>
      <c r="D1186" s="24" t="s">
        <v>12</v>
      </c>
      <c r="E1186" s="48">
        <v>8.41</v>
      </c>
      <c r="F1186" s="48" t="s">
        <v>25</v>
      </c>
      <c r="G1186" s="56"/>
      <c r="H1186" s="56"/>
      <c r="I1186" s="56"/>
      <c r="J1186" s="56"/>
      <c r="K1186" s="25"/>
      <c r="L1186" s="32"/>
      <c r="M1186" s="49"/>
      <c r="N1186" s="10"/>
      <c r="P1186" s="11"/>
      <c r="Q1186" s="6"/>
    </row>
    <row r="1187" spans="1:17" s="7" customFormat="1" ht="66" customHeight="1" x14ac:dyDescent="0.25">
      <c r="A1187" s="8"/>
      <c r="B1187" s="9"/>
      <c r="C1187" s="22" t="s">
        <v>69</v>
      </c>
      <c r="D1187" s="24" t="s">
        <v>12</v>
      </c>
      <c r="E1187" s="48">
        <v>7.82</v>
      </c>
      <c r="F1187" s="48" t="s">
        <v>25</v>
      </c>
      <c r="G1187" s="56"/>
      <c r="H1187" s="56"/>
      <c r="I1187" s="56"/>
      <c r="J1187" s="56"/>
      <c r="K1187" s="25"/>
      <c r="L1187" s="32"/>
      <c r="M1187" s="49"/>
      <c r="N1187" s="10"/>
      <c r="P1187" s="11"/>
      <c r="Q1187" s="6"/>
    </row>
    <row r="1188" spans="1:17" s="7" customFormat="1" ht="66" customHeight="1" x14ac:dyDescent="0.25">
      <c r="A1188" s="8"/>
      <c r="B1188" s="9"/>
      <c r="C1188" s="22" t="s">
        <v>70</v>
      </c>
      <c r="D1188" s="24" t="s">
        <v>12</v>
      </c>
      <c r="E1188" s="48">
        <v>45.94</v>
      </c>
      <c r="F1188" s="48" t="s">
        <v>25</v>
      </c>
      <c r="G1188" s="56"/>
      <c r="H1188" s="56"/>
      <c r="I1188" s="56"/>
      <c r="J1188" s="56"/>
      <c r="K1188" s="25"/>
      <c r="L1188" s="32"/>
      <c r="M1188" s="49"/>
      <c r="N1188" s="10"/>
      <c r="P1188" s="11"/>
      <c r="Q1188" s="6"/>
    </row>
    <row r="1189" spans="1:17" s="7" customFormat="1" ht="66" customHeight="1" x14ac:dyDescent="0.25">
      <c r="A1189" s="8"/>
      <c r="B1189" s="9"/>
      <c r="C1189" s="22" t="s">
        <v>71</v>
      </c>
      <c r="D1189" s="24" t="s">
        <v>12</v>
      </c>
      <c r="E1189" s="48">
        <v>20.27</v>
      </c>
      <c r="F1189" s="48" t="s">
        <v>25</v>
      </c>
      <c r="G1189" s="56"/>
      <c r="H1189" s="56"/>
      <c r="I1189" s="56"/>
      <c r="J1189" s="56"/>
      <c r="K1189" s="25"/>
      <c r="L1189" s="32"/>
      <c r="M1189" s="49"/>
      <c r="N1189" s="10"/>
      <c r="P1189" s="11"/>
      <c r="Q1189" s="6"/>
    </row>
    <row r="1190" spans="1:17" s="7" customFormat="1" ht="66" customHeight="1" x14ac:dyDescent="0.25">
      <c r="A1190" s="8"/>
      <c r="B1190" s="9"/>
      <c r="C1190" s="22" t="s">
        <v>72</v>
      </c>
      <c r="D1190" s="24" t="s">
        <v>12</v>
      </c>
      <c r="E1190" s="48">
        <v>12.24</v>
      </c>
      <c r="F1190" s="48" t="s">
        <v>25</v>
      </c>
      <c r="G1190" s="56"/>
      <c r="H1190" s="56"/>
      <c r="I1190" s="56"/>
      <c r="J1190" s="56"/>
      <c r="K1190" s="25"/>
      <c r="L1190" s="32"/>
      <c r="M1190" s="49"/>
      <c r="N1190" s="10"/>
      <c r="P1190" s="11"/>
      <c r="Q1190" s="6"/>
    </row>
    <row r="1191" spans="1:17" s="7" customFormat="1" ht="66" customHeight="1" x14ac:dyDescent="0.25">
      <c r="A1191" s="8"/>
      <c r="B1191" s="9"/>
      <c r="C1191" s="22" t="s">
        <v>144</v>
      </c>
      <c r="D1191" s="24" t="s">
        <v>12</v>
      </c>
      <c r="E1191" s="48">
        <v>12.12</v>
      </c>
      <c r="F1191" s="48"/>
      <c r="G1191" s="56"/>
      <c r="H1191" s="56"/>
      <c r="I1191" s="56"/>
      <c r="J1191" s="56"/>
      <c r="K1191" s="25"/>
      <c r="L1191" s="32"/>
      <c r="M1191" s="49"/>
      <c r="N1191" s="10"/>
      <c r="P1191" s="11"/>
      <c r="Q1191" s="6"/>
    </row>
    <row r="1192" spans="1:17" s="7" customFormat="1" ht="66" customHeight="1" x14ac:dyDescent="0.25">
      <c r="A1192" s="8"/>
      <c r="B1192" s="9"/>
      <c r="C1192" s="22"/>
      <c r="D1192" s="24"/>
      <c r="E1192" s="48"/>
      <c r="F1192" s="48"/>
      <c r="G1192" s="56"/>
      <c r="H1192" s="56"/>
      <c r="I1192" s="56"/>
      <c r="J1192" s="56"/>
      <c r="K1192" s="25"/>
      <c r="L1192" s="32"/>
      <c r="M1192" s="49"/>
      <c r="N1192" s="10"/>
      <c r="P1192" s="11"/>
      <c r="Q1192" s="6"/>
    </row>
    <row r="1193" spans="1:17" s="7" customFormat="1" ht="66" customHeight="1" x14ac:dyDescent="0.25">
      <c r="A1193" s="8"/>
      <c r="B1193" s="9"/>
      <c r="C1193" s="22"/>
      <c r="D1193" s="24"/>
      <c r="E1193" s="48"/>
      <c r="F1193" s="48"/>
      <c r="G1193" s="48"/>
      <c r="H1193" s="10"/>
      <c r="I1193" s="48"/>
      <c r="J1193" s="10"/>
      <c r="K1193" s="10"/>
      <c r="L1193" s="10"/>
      <c r="M1193" s="25"/>
      <c r="N1193" s="10"/>
      <c r="P1193" s="11"/>
      <c r="Q1193" s="6"/>
    </row>
    <row r="1194" spans="1:17" s="7" customFormat="1" ht="66" customHeight="1" x14ac:dyDescent="0.25">
      <c r="A1194" s="8"/>
      <c r="B1194" s="9"/>
      <c r="C1194" s="22"/>
      <c r="D1194" s="24"/>
      <c r="E1194" s="48"/>
      <c r="F1194" s="48"/>
      <c r="G1194" s="48"/>
      <c r="H1194" s="10"/>
      <c r="I1194" s="48"/>
      <c r="J1194" s="10"/>
      <c r="K1194" s="96" t="s">
        <v>48</v>
      </c>
      <c r="L1194" s="96" t="s">
        <v>12</v>
      </c>
      <c r="M1194" s="26">
        <f>SUM(M1107:M1172,E1176:E1191)</f>
        <v>1120.7400000000002</v>
      </c>
      <c r="N1194" s="96" t="s">
        <v>25</v>
      </c>
      <c r="P1194" s="11"/>
      <c r="Q1194" s="6"/>
    </row>
    <row r="1195" spans="1:17" s="7" customFormat="1" ht="66" customHeight="1" x14ac:dyDescent="0.25">
      <c r="A1195" s="8"/>
      <c r="B1195" s="9"/>
      <c r="C1195" s="99"/>
      <c r="D1195" s="96"/>
      <c r="E1195" s="100"/>
      <c r="F1195" s="96"/>
      <c r="L1195" s="10"/>
      <c r="P1195" s="11"/>
      <c r="Q1195" s="6"/>
    </row>
    <row r="1196" spans="1:17" s="7" customFormat="1" ht="66" customHeight="1" x14ac:dyDescent="0.25">
      <c r="A1196" s="8"/>
      <c r="B1196" s="18" t="s">
        <v>341</v>
      </c>
      <c r="C1196" s="19" t="str">
        <f>VLOOKUP($B1196,[1]ORÇ_ANALITICO!$A$10:$K$137,2,0)</f>
        <v>17.017.0320-0</v>
      </c>
      <c r="D1196" s="157" t="str">
        <f>VLOOKUP($C1196,[1]ORÇ_ANALITICO!$B$10:$L$137,4,0)</f>
        <v>PINTURA INTERNA OU EXTERNA SOBRE FERRO,COM ESMALTE SINTETICOBRILHANTE OU ACETINADO APOS LIXAMENTO,LIMPEZA,DESENGORDURAMENTO,UMA DEMAO DE FUNDO ANTICORROSIVO NA COR LARANJA DE SECAGEM RAPIDA E DUAS DEMAOS DE ACABAMENTO</v>
      </c>
      <c r="E1196" s="157" t="e">
        <f>VLOOKUP(D1196,[1]ORÇ_ANALITICO!C1050:M1149,2,0)</f>
        <v>#N/A</v>
      </c>
      <c r="F1196" s="157" t="e">
        <f>VLOOKUP(E1196,[1]ORÇ_ANALITICO!E1050:N1149,2,0)</f>
        <v>#N/A</v>
      </c>
      <c r="G1196" s="157" t="e">
        <f>VLOOKUP(F1196,[1]ORÇ_ANALITICO!F1050:O1149,2,0)</f>
        <v>#N/A</v>
      </c>
      <c r="H1196" s="157" t="e">
        <f>VLOOKUP(G1196,[1]ORÇ_ANALITICO!G1050:P1149,2,0)</f>
        <v>#N/A</v>
      </c>
      <c r="I1196" s="157" t="e">
        <f>VLOOKUP(H1196,[1]ORÇ_ANALITICO!H1050:Q1149,2,0)</f>
        <v>#N/A</v>
      </c>
      <c r="J1196" s="157" t="e">
        <f>VLOOKUP(I1196,[1]ORÇ_ANALITICO!I1050:R1149,2,0)</f>
        <v>#N/A</v>
      </c>
      <c r="K1196" s="157" t="e">
        <f>VLOOKUP(J1196,[1]ORÇ_ANALITICO!J1050:S1149,2,0)</f>
        <v>#N/A</v>
      </c>
      <c r="L1196" s="157" t="e">
        <f>VLOOKUP(K1196,[1]ORÇ_ANALITICO!K1050:T1149,2,0)</f>
        <v>#N/A</v>
      </c>
      <c r="M1196" s="157" t="e">
        <f>VLOOKUP(L1196,[1]ORÇ_ANALITICO!L1050:U1149,2,0)</f>
        <v>#N/A</v>
      </c>
      <c r="N1196" s="157" t="e">
        <f>VLOOKUP(M1196,[1]ORÇ_ANALITICO!M1050:V1149,2,0)</f>
        <v>#N/A</v>
      </c>
      <c r="O1196" s="20" t="str">
        <f>VLOOKUP($C1196,[1]ORÇ_ANALITICO!$B$10:$L$137,5,0)</f>
        <v>M2</v>
      </c>
      <c r="P1196" s="20">
        <f>M1214</f>
        <v>88.365000000000009</v>
      </c>
      <c r="Q1196" s="6"/>
    </row>
    <row r="1197" spans="1:17" s="7" customFormat="1" ht="66" customHeight="1" x14ac:dyDescent="0.25">
      <c r="A1197" s="8"/>
      <c r="B1197" s="9"/>
      <c r="C1197" s="10"/>
      <c r="L1197" s="10"/>
      <c r="P1197" s="11"/>
      <c r="Q1197" s="6"/>
    </row>
    <row r="1198" spans="1:17" s="7" customFormat="1" ht="66" customHeight="1" x14ac:dyDescent="0.25">
      <c r="A1198" s="8"/>
      <c r="B1198" s="9"/>
      <c r="C1198" s="22"/>
      <c r="D1198" s="24"/>
      <c r="E1198" s="48" t="s">
        <v>22</v>
      </c>
      <c r="F1198" s="48"/>
      <c r="G1198" s="48" t="s">
        <v>23</v>
      </c>
      <c r="H1198" s="10"/>
      <c r="I1198" s="48" t="s">
        <v>75</v>
      </c>
      <c r="J1198" s="10"/>
      <c r="K1198" s="10" t="s">
        <v>300</v>
      </c>
      <c r="L1198" s="10"/>
      <c r="M1198" s="25"/>
      <c r="N1198" s="10"/>
      <c r="P1198" s="11"/>
      <c r="Q1198" s="6"/>
    </row>
    <row r="1199" spans="1:17" s="7" customFormat="1" ht="66" customHeight="1" x14ac:dyDescent="0.25">
      <c r="A1199" s="8"/>
      <c r="B1199" s="9"/>
      <c r="C1199" s="22"/>
      <c r="D1199" s="24"/>
      <c r="E1199" s="48"/>
      <c r="F1199" s="48"/>
      <c r="G1199" s="48"/>
      <c r="H1199" s="10"/>
      <c r="I1199" s="48"/>
      <c r="J1199" s="10"/>
      <c r="K1199" s="10"/>
      <c r="L1199" s="10"/>
      <c r="M1199" s="25"/>
      <c r="N1199" s="10"/>
      <c r="P1199" s="11"/>
      <c r="Q1199" s="6"/>
    </row>
    <row r="1200" spans="1:17" s="7" customFormat="1" ht="66" customHeight="1" x14ac:dyDescent="0.25">
      <c r="A1200" s="8"/>
      <c r="B1200" s="9"/>
      <c r="C1200" s="22" t="s">
        <v>206</v>
      </c>
      <c r="D1200" s="24" t="s">
        <v>12</v>
      </c>
      <c r="E1200" s="48">
        <v>1</v>
      </c>
      <c r="F1200" s="48" t="s">
        <v>24</v>
      </c>
      <c r="G1200" s="48">
        <v>1.2</v>
      </c>
      <c r="H1200" s="10" t="s">
        <v>24</v>
      </c>
      <c r="I1200" s="48">
        <v>1</v>
      </c>
      <c r="J1200" s="10" t="s">
        <v>24</v>
      </c>
      <c r="K1200" s="10">
        <v>2</v>
      </c>
      <c r="L1200" s="10" t="s">
        <v>12</v>
      </c>
      <c r="M1200" s="25">
        <f t="shared" ref="M1200:M1212" si="22">E1200*G1200*I1200*K1200</f>
        <v>2.4</v>
      </c>
      <c r="N1200" s="10" t="s">
        <v>25</v>
      </c>
      <c r="P1200" s="11"/>
      <c r="Q1200" s="6"/>
    </row>
    <row r="1201" spans="1:17" s="7" customFormat="1" ht="66" customHeight="1" x14ac:dyDescent="0.25">
      <c r="A1201" s="8"/>
      <c r="B1201" s="9"/>
      <c r="C1201" s="22" t="s">
        <v>342</v>
      </c>
      <c r="D1201" s="24" t="s">
        <v>12</v>
      </c>
      <c r="E1201" s="48">
        <v>2.1</v>
      </c>
      <c r="F1201" s="48" t="s">
        <v>24</v>
      </c>
      <c r="G1201" s="48">
        <v>3</v>
      </c>
      <c r="H1201" s="10" t="s">
        <v>24</v>
      </c>
      <c r="I1201" s="48">
        <v>1</v>
      </c>
      <c r="J1201" s="10" t="s">
        <v>24</v>
      </c>
      <c r="K1201" s="10">
        <v>2</v>
      </c>
      <c r="L1201" s="10" t="s">
        <v>12</v>
      </c>
      <c r="M1201" s="25">
        <f t="shared" si="22"/>
        <v>12.600000000000001</v>
      </c>
      <c r="N1201" s="10" t="s">
        <v>25</v>
      </c>
      <c r="P1201" s="11"/>
      <c r="Q1201" s="6"/>
    </row>
    <row r="1202" spans="1:17" s="7" customFormat="1" ht="66" customHeight="1" x14ac:dyDescent="0.25">
      <c r="A1202" s="8"/>
      <c r="B1202" s="9"/>
      <c r="C1202" s="22" t="s">
        <v>343</v>
      </c>
      <c r="D1202" s="24" t="s">
        <v>12</v>
      </c>
      <c r="E1202" s="48">
        <v>0.7</v>
      </c>
      <c r="F1202" s="48" t="s">
        <v>24</v>
      </c>
      <c r="G1202" s="48">
        <v>2</v>
      </c>
      <c r="H1202" s="10" t="s">
        <v>24</v>
      </c>
      <c r="I1202" s="48">
        <v>1</v>
      </c>
      <c r="J1202" s="10" t="s">
        <v>24</v>
      </c>
      <c r="K1202" s="10">
        <v>2</v>
      </c>
      <c r="L1202" s="10" t="s">
        <v>12</v>
      </c>
      <c r="M1202" s="25">
        <f t="shared" si="22"/>
        <v>2.8</v>
      </c>
      <c r="N1202" s="10" t="s">
        <v>25</v>
      </c>
      <c r="P1202" s="112"/>
      <c r="Q1202" s="6"/>
    </row>
    <row r="1203" spans="1:17" s="7" customFormat="1" ht="66" customHeight="1" x14ac:dyDescent="0.25">
      <c r="A1203" s="8"/>
      <c r="B1203" s="9"/>
      <c r="C1203" s="22" t="s">
        <v>344</v>
      </c>
      <c r="D1203" s="24" t="s">
        <v>12</v>
      </c>
      <c r="E1203" s="48">
        <v>5</v>
      </c>
      <c r="F1203" s="48" t="s">
        <v>24</v>
      </c>
      <c r="G1203" s="48">
        <v>0.8</v>
      </c>
      <c r="H1203" s="10" t="s">
        <v>24</v>
      </c>
      <c r="I1203" s="48">
        <v>2</v>
      </c>
      <c r="J1203" s="10" t="s">
        <v>24</v>
      </c>
      <c r="K1203" s="10">
        <v>2</v>
      </c>
      <c r="L1203" s="10" t="s">
        <v>12</v>
      </c>
      <c r="M1203" s="25">
        <f t="shared" si="22"/>
        <v>16</v>
      </c>
      <c r="N1203" s="10" t="s">
        <v>25</v>
      </c>
      <c r="P1203" s="11"/>
      <c r="Q1203" s="6"/>
    </row>
    <row r="1204" spans="1:17" s="7" customFormat="1" ht="66" customHeight="1" x14ac:dyDescent="0.25">
      <c r="A1204" s="8"/>
      <c r="B1204" s="9"/>
      <c r="C1204" s="22" t="s">
        <v>345</v>
      </c>
      <c r="D1204" s="24" t="s">
        <v>12</v>
      </c>
      <c r="E1204" s="48">
        <f>16.95+1.3</f>
        <v>18.25</v>
      </c>
      <c r="F1204" s="48" t="s">
        <v>24</v>
      </c>
      <c r="G1204" s="48">
        <v>1.2</v>
      </c>
      <c r="H1204" s="10" t="s">
        <v>24</v>
      </c>
      <c r="I1204" s="48">
        <v>1</v>
      </c>
      <c r="J1204" s="10" t="s">
        <v>24</v>
      </c>
      <c r="K1204" s="10">
        <v>2</v>
      </c>
      <c r="L1204" s="10" t="s">
        <v>12</v>
      </c>
      <c r="M1204" s="25">
        <f>E1204*G1204*I1204*K1204</f>
        <v>43.8</v>
      </c>
      <c r="N1204" s="10" t="s">
        <v>25</v>
      </c>
      <c r="P1204" s="11"/>
      <c r="Q1204" s="6"/>
    </row>
    <row r="1205" spans="1:17" s="7" customFormat="1" ht="66" customHeight="1" x14ac:dyDescent="0.25">
      <c r="A1205" s="8"/>
      <c r="B1205" s="9"/>
      <c r="C1205" s="22" t="s">
        <v>174</v>
      </c>
      <c r="D1205" s="24" t="s">
        <v>12</v>
      </c>
      <c r="E1205" s="48">
        <v>0.8</v>
      </c>
      <c r="F1205" s="48" t="s">
        <v>24</v>
      </c>
      <c r="G1205" s="48">
        <v>2.1</v>
      </c>
      <c r="H1205" s="10" t="s">
        <v>24</v>
      </c>
      <c r="I1205" s="48">
        <v>1</v>
      </c>
      <c r="J1205" s="10" t="s">
        <v>24</v>
      </c>
      <c r="K1205" s="10">
        <v>2</v>
      </c>
      <c r="L1205" s="10" t="s">
        <v>12</v>
      </c>
      <c r="M1205" s="25">
        <f>E1205*G1205*I1205*K1205</f>
        <v>3.3600000000000003</v>
      </c>
      <c r="N1205" s="10" t="s">
        <v>25</v>
      </c>
      <c r="P1205" s="11"/>
      <c r="Q1205" s="6"/>
    </row>
    <row r="1206" spans="1:17" s="7" customFormat="1" ht="66" customHeight="1" x14ac:dyDescent="0.25">
      <c r="A1206" s="8"/>
      <c r="B1206" s="9"/>
      <c r="C1206" s="22" t="s">
        <v>323</v>
      </c>
      <c r="D1206" s="24" t="s">
        <v>12</v>
      </c>
      <c r="E1206" s="48">
        <v>0.7</v>
      </c>
      <c r="F1206" s="48" t="s">
        <v>24</v>
      </c>
      <c r="G1206" s="48">
        <v>0.4</v>
      </c>
      <c r="H1206" s="10" t="s">
        <v>24</v>
      </c>
      <c r="I1206" s="48">
        <v>6</v>
      </c>
      <c r="J1206" s="10" t="s">
        <v>24</v>
      </c>
      <c r="K1206" s="10">
        <v>2</v>
      </c>
      <c r="L1206" s="10" t="s">
        <v>12</v>
      </c>
      <c r="M1206" s="25">
        <f t="shared" si="22"/>
        <v>3.3599999999999994</v>
      </c>
      <c r="N1206" s="10" t="s">
        <v>25</v>
      </c>
      <c r="P1206" s="11"/>
      <c r="Q1206" s="6"/>
    </row>
    <row r="1207" spans="1:17" s="7" customFormat="1" ht="66" customHeight="1" x14ac:dyDescent="0.25">
      <c r="A1207" s="8"/>
      <c r="B1207" s="9"/>
      <c r="C1207" s="22" t="s">
        <v>324</v>
      </c>
      <c r="D1207" s="24" t="s">
        <v>12</v>
      </c>
      <c r="E1207" s="48">
        <v>0.7</v>
      </c>
      <c r="F1207" s="48" t="s">
        <v>24</v>
      </c>
      <c r="G1207" s="48">
        <v>0.4</v>
      </c>
      <c r="H1207" s="10" t="s">
        <v>24</v>
      </c>
      <c r="I1207" s="48">
        <v>1</v>
      </c>
      <c r="J1207" s="10" t="s">
        <v>24</v>
      </c>
      <c r="K1207" s="10">
        <v>2</v>
      </c>
      <c r="L1207" s="10" t="s">
        <v>12</v>
      </c>
      <c r="M1207" s="25">
        <f t="shared" si="22"/>
        <v>0.55999999999999994</v>
      </c>
      <c r="N1207" s="10" t="s">
        <v>25</v>
      </c>
      <c r="P1207" s="11"/>
      <c r="Q1207" s="6"/>
    </row>
    <row r="1208" spans="1:17" s="7" customFormat="1" ht="66" customHeight="1" x14ac:dyDescent="0.25">
      <c r="A1208" s="8"/>
      <c r="B1208" s="9"/>
      <c r="C1208" s="22" t="s">
        <v>325</v>
      </c>
      <c r="D1208" s="24" t="s">
        <v>12</v>
      </c>
      <c r="E1208" s="48">
        <v>0.7</v>
      </c>
      <c r="F1208" s="48" t="s">
        <v>24</v>
      </c>
      <c r="G1208" s="48">
        <v>0.4</v>
      </c>
      <c r="H1208" s="10" t="s">
        <v>24</v>
      </c>
      <c r="I1208" s="48">
        <v>1</v>
      </c>
      <c r="J1208" s="10" t="s">
        <v>24</v>
      </c>
      <c r="K1208" s="10">
        <v>2</v>
      </c>
      <c r="L1208" s="10" t="s">
        <v>12</v>
      </c>
      <c r="M1208" s="25">
        <f t="shared" si="22"/>
        <v>0.55999999999999994</v>
      </c>
      <c r="N1208" s="10" t="s">
        <v>25</v>
      </c>
      <c r="P1208" s="11"/>
      <c r="Q1208" s="6"/>
    </row>
    <row r="1209" spans="1:17" s="7" customFormat="1" ht="66" customHeight="1" x14ac:dyDescent="0.25">
      <c r="A1209" s="8"/>
      <c r="B1209" s="9"/>
      <c r="C1209" s="22" t="s">
        <v>326</v>
      </c>
      <c r="D1209" s="24" t="s">
        <v>12</v>
      </c>
      <c r="E1209" s="48">
        <v>0.8</v>
      </c>
      <c r="F1209" s="48" t="s">
        <v>24</v>
      </c>
      <c r="G1209" s="48">
        <v>0.3</v>
      </c>
      <c r="H1209" s="10" t="s">
        <v>24</v>
      </c>
      <c r="I1209" s="48">
        <v>1</v>
      </c>
      <c r="J1209" s="10" t="s">
        <v>24</v>
      </c>
      <c r="K1209" s="106">
        <v>2</v>
      </c>
      <c r="L1209" s="10" t="s">
        <v>12</v>
      </c>
      <c r="M1209" s="25">
        <f t="shared" si="22"/>
        <v>0.48</v>
      </c>
      <c r="N1209" s="10" t="s">
        <v>25</v>
      </c>
      <c r="P1209" s="11"/>
      <c r="Q1209" s="6"/>
    </row>
    <row r="1210" spans="1:17" s="7" customFormat="1" ht="66" customHeight="1" x14ac:dyDescent="0.25">
      <c r="A1210" s="8"/>
      <c r="B1210" s="9"/>
      <c r="C1210" s="22" t="s">
        <v>327</v>
      </c>
      <c r="D1210" s="24" t="s">
        <v>12</v>
      </c>
      <c r="E1210" s="48">
        <v>0.75</v>
      </c>
      <c r="F1210" s="48" t="s">
        <v>24</v>
      </c>
      <c r="G1210" s="48">
        <v>0.75</v>
      </c>
      <c r="H1210" s="10" t="s">
        <v>24</v>
      </c>
      <c r="I1210" s="48">
        <v>1</v>
      </c>
      <c r="J1210" s="10" t="s">
        <v>24</v>
      </c>
      <c r="K1210" s="106">
        <v>2</v>
      </c>
      <c r="L1210" s="10" t="s">
        <v>12</v>
      </c>
      <c r="M1210" s="25">
        <f t="shared" si="22"/>
        <v>1.125</v>
      </c>
      <c r="N1210" s="10" t="s">
        <v>25</v>
      </c>
      <c r="P1210" s="11"/>
      <c r="Q1210" s="6"/>
    </row>
    <row r="1211" spans="1:17" s="7" customFormat="1" ht="66" customHeight="1" x14ac:dyDescent="0.25">
      <c r="A1211" s="8"/>
      <c r="B1211" s="9"/>
      <c r="C1211" s="22" t="s">
        <v>328</v>
      </c>
      <c r="D1211" s="24" t="s">
        <v>12</v>
      </c>
      <c r="E1211" s="48">
        <v>0.8</v>
      </c>
      <c r="F1211" s="48" t="s">
        <v>24</v>
      </c>
      <c r="G1211" s="48">
        <v>0.3</v>
      </c>
      <c r="H1211" s="10" t="s">
        <v>24</v>
      </c>
      <c r="I1211" s="48">
        <v>1</v>
      </c>
      <c r="J1211" s="10" t="s">
        <v>24</v>
      </c>
      <c r="K1211" s="10">
        <v>2</v>
      </c>
      <c r="L1211" s="10" t="s">
        <v>12</v>
      </c>
      <c r="M1211" s="25">
        <f t="shared" si="22"/>
        <v>0.48</v>
      </c>
      <c r="N1211" s="10" t="s">
        <v>25</v>
      </c>
      <c r="P1211" s="11"/>
      <c r="Q1211" s="6"/>
    </row>
    <row r="1212" spans="1:17" s="7" customFormat="1" ht="66" customHeight="1" x14ac:dyDescent="0.25">
      <c r="A1212" s="8"/>
      <c r="B1212" s="9"/>
      <c r="C1212" s="22" t="s">
        <v>329</v>
      </c>
      <c r="D1212" s="24" t="s">
        <v>12</v>
      </c>
      <c r="E1212" s="48">
        <v>0.7</v>
      </c>
      <c r="F1212" s="48" t="s">
        <v>24</v>
      </c>
      <c r="G1212" s="48">
        <v>0.3</v>
      </c>
      <c r="H1212" s="10" t="s">
        <v>24</v>
      </c>
      <c r="I1212" s="48">
        <v>2</v>
      </c>
      <c r="J1212" s="10" t="s">
        <v>24</v>
      </c>
      <c r="K1212" s="10">
        <v>2</v>
      </c>
      <c r="L1212" s="10" t="s">
        <v>12</v>
      </c>
      <c r="M1212" s="25">
        <f t="shared" si="22"/>
        <v>0.84</v>
      </c>
      <c r="N1212" s="10" t="s">
        <v>25</v>
      </c>
      <c r="P1212" s="11"/>
      <c r="Q1212" s="6"/>
    </row>
    <row r="1213" spans="1:17" s="7" customFormat="1" ht="66" customHeight="1" x14ac:dyDescent="0.25">
      <c r="A1213" s="8"/>
      <c r="B1213" s="9"/>
      <c r="C1213" s="22"/>
      <c r="D1213" s="24"/>
      <c r="E1213" s="48"/>
      <c r="F1213" s="48"/>
      <c r="G1213" s="48"/>
      <c r="H1213" s="10"/>
      <c r="I1213" s="48"/>
      <c r="J1213" s="10"/>
      <c r="K1213" s="10"/>
      <c r="L1213" s="10"/>
      <c r="M1213" s="25"/>
      <c r="N1213" s="10"/>
      <c r="P1213" s="11"/>
      <c r="Q1213" s="6"/>
    </row>
    <row r="1214" spans="1:17" s="7" customFormat="1" ht="66" customHeight="1" x14ac:dyDescent="0.25">
      <c r="A1214" s="8"/>
      <c r="B1214" s="9"/>
      <c r="C1214" s="22"/>
      <c r="D1214" s="24"/>
      <c r="E1214" s="48"/>
      <c r="F1214" s="48"/>
      <c r="G1214" s="48"/>
      <c r="H1214" s="10"/>
      <c r="I1214" s="48"/>
      <c r="J1214" s="10"/>
      <c r="K1214" s="96" t="s">
        <v>48</v>
      </c>
      <c r="L1214" s="96" t="s">
        <v>12</v>
      </c>
      <c r="M1214" s="26">
        <f>SUM(M1200:M1212)</f>
        <v>88.365000000000009</v>
      </c>
      <c r="N1214" s="96" t="s">
        <v>25</v>
      </c>
      <c r="P1214" s="11"/>
      <c r="Q1214" s="6"/>
    </row>
    <row r="1215" spans="1:17" s="7" customFormat="1" ht="66" customHeight="1" x14ac:dyDescent="0.25">
      <c r="A1215" s="8"/>
      <c r="B1215" s="158" t="str">
        <f>[1]ORÇ_ANALITICO!B105</f>
        <v>APARELHOS ELÉTRICOS E HIDRÁULICOS</v>
      </c>
      <c r="C1215" s="159"/>
      <c r="D1215" s="159"/>
      <c r="E1215" s="159"/>
      <c r="F1215" s="159"/>
      <c r="G1215" s="159"/>
      <c r="H1215" s="159"/>
      <c r="I1215" s="159"/>
      <c r="J1215" s="159"/>
      <c r="K1215" s="159"/>
      <c r="L1215" s="159"/>
      <c r="M1215" s="159"/>
      <c r="N1215" s="159"/>
      <c r="O1215" s="159"/>
      <c r="P1215" s="160"/>
      <c r="Q1215" s="6"/>
    </row>
    <row r="1216" spans="1:17" s="7" customFormat="1" ht="66" customHeight="1" x14ac:dyDescent="0.25">
      <c r="A1216" s="8"/>
      <c r="B1216" s="18" t="s">
        <v>346</v>
      </c>
      <c r="C1216" s="19" t="str">
        <f>VLOOKUP($B1216,[1]ORÇ_ANALITICO!$A$10:$K$137,2,0)</f>
        <v>18.027.0476-0</v>
      </c>
      <c r="D1216" s="157" t="str">
        <f>VLOOKUP($C1216,[1]ORÇ_ANALITICO!$B$10:$L$137,4,0)</f>
        <v>LUMINARIA DE SOBREPOR, FIXADA EM LAJE OU FORRO, TIPO CALHA,CHANFRADA OU PRISMATICA, COMPLETA, COM LAMPADA LED TUBULARDE 2 X 18W. FORNECIMENTO E COLOCACAO</v>
      </c>
      <c r="E1216" s="157" t="e">
        <f>VLOOKUP(D1216,[1]ORÇ_ANALITICO!C1070:M1169,2,0)</f>
        <v>#N/A</v>
      </c>
      <c r="F1216" s="157" t="e">
        <f>VLOOKUP(E1216,[1]ORÇ_ANALITICO!E1070:N1169,2,0)</f>
        <v>#N/A</v>
      </c>
      <c r="G1216" s="157" t="e">
        <f>VLOOKUP(F1216,[1]ORÇ_ANALITICO!F1070:O1169,2,0)</f>
        <v>#N/A</v>
      </c>
      <c r="H1216" s="157" t="e">
        <f>VLOOKUP(G1216,[1]ORÇ_ANALITICO!G1070:P1169,2,0)</f>
        <v>#N/A</v>
      </c>
      <c r="I1216" s="157" t="e">
        <f>VLOOKUP(H1216,[1]ORÇ_ANALITICO!H1070:Q1169,2,0)</f>
        <v>#N/A</v>
      </c>
      <c r="J1216" s="157" t="e">
        <f>VLOOKUP(I1216,[1]ORÇ_ANALITICO!I1070:R1169,2,0)</f>
        <v>#N/A</v>
      </c>
      <c r="K1216" s="157" t="e">
        <f>VLOOKUP(J1216,[1]ORÇ_ANALITICO!J1070:S1169,2,0)</f>
        <v>#N/A</v>
      </c>
      <c r="L1216" s="157" t="e">
        <f>VLOOKUP(K1216,[1]ORÇ_ANALITICO!K1070:T1169,2,0)</f>
        <v>#N/A</v>
      </c>
      <c r="M1216" s="157" t="e">
        <f>VLOOKUP(L1216,[1]ORÇ_ANALITICO!L1070:U1169,2,0)</f>
        <v>#N/A</v>
      </c>
      <c r="N1216" s="157" t="e">
        <f>VLOOKUP(M1216,[1]ORÇ_ANALITICO!M1070:V1169,2,0)</f>
        <v>#N/A</v>
      </c>
      <c r="O1216" s="20" t="str">
        <f>VLOOKUP($C1216,[1]ORÇ_ANALITICO!$B$10:$L$137,5,0)</f>
        <v>UN</v>
      </c>
      <c r="P1216" s="20">
        <f>E1247</f>
        <v>36</v>
      </c>
      <c r="Q1216" s="6"/>
    </row>
    <row r="1217" spans="1:17" s="7" customFormat="1" ht="66" customHeight="1" x14ac:dyDescent="0.25">
      <c r="A1217" s="8"/>
      <c r="B1217" s="9"/>
      <c r="C1217" s="99"/>
      <c r="D1217" s="96"/>
      <c r="E1217" s="100"/>
      <c r="F1217" s="96"/>
      <c r="L1217" s="10"/>
      <c r="P1217" s="11"/>
      <c r="Q1217" s="6"/>
    </row>
    <row r="1218" spans="1:17" s="7" customFormat="1" ht="66" customHeight="1" x14ac:dyDescent="0.25">
      <c r="A1218" s="8"/>
      <c r="B1218" s="9"/>
      <c r="C1218" s="99"/>
      <c r="D1218" s="96"/>
      <c r="E1218" s="100"/>
      <c r="F1218" s="96"/>
      <c r="L1218" s="10"/>
      <c r="P1218" s="11"/>
      <c r="Q1218" s="6"/>
    </row>
    <row r="1219" spans="1:17" s="7" customFormat="1" ht="66" customHeight="1" x14ac:dyDescent="0.25">
      <c r="A1219" s="8"/>
      <c r="B1219" s="9"/>
      <c r="C1219" s="99"/>
      <c r="D1219" s="96"/>
      <c r="E1219" s="100"/>
      <c r="F1219" s="96"/>
      <c r="L1219" s="10"/>
      <c r="P1219" s="11"/>
      <c r="Q1219" s="6"/>
    </row>
    <row r="1220" spans="1:17" s="7" customFormat="1" ht="66" customHeight="1" x14ac:dyDescent="0.25">
      <c r="A1220" s="8"/>
      <c r="B1220" s="9"/>
      <c r="C1220" s="99"/>
      <c r="D1220" s="96"/>
      <c r="E1220" s="100"/>
      <c r="F1220" s="96"/>
      <c r="L1220" s="10"/>
      <c r="P1220" s="11"/>
      <c r="Q1220" s="6"/>
    </row>
    <row r="1221" spans="1:17" s="7" customFormat="1" ht="66" customHeight="1" x14ac:dyDescent="0.25">
      <c r="A1221" s="8"/>
      <c r="B1221" s="9"/>
      <c r="C1221" s="10"/>
      <c r="E1221" s="89" t="s">
        <v>347</v>
      </c>
      <c r="L1221" s="10"/>
      <c r="P1221" s="11"/>
      <c r="Q1221" s="6"/>
    </row>
    <row r="1222" spans="1:17" s="7" customFormat="1" ht="66" customHeight="1" x14ac:dyDescent="0.25">
      <c r="A1222" s="8"/>
      <c r="B1222" s="9"/>
      <c r="C1222" s="10"/>
      <c r="L1222" s="10"/>
      <c r="P1222" s="11"/>
      <c r="Q1222" s="6"/>
    </row>
    <row r="1223" spans="1:17" s="7" customFormat="1" ht="66" customHeight="1" x14ac:dyDescent="0.25">
      <c r="A1223" s="8"/>
      <c r="B1223" s="9"/>
      <c r="C1223" s="93" t="s">
        <v>210</v>
      </c>
      <c r="D1223" s="94"/>
      <c r="E1223" s="10"/>
      <c r="F1223" s="10"/>
      <c r="L1223" s="10"/>
      <c r="P1223" s="11"/>
      <c r="Q1223" s="6"/>
    </row>
    <row r="1224" spans="1:17" s="7" customFormat="1" ht="66" customHeight="1" x14ac:dyDescent="0.25">
      <c r="A1224" s="8"/>
      <c r="B1224" s="9"/>
      <c r="C1224" s="92" t="s">
        <v>348</v>
      </c>
      <c r="D1224" s="51" t="s">
        <v>12</v>
      </c>
      <c r="E1224" s="92">
        <v>1</v>
      </c>
      <c r="F1224" s="51" t="s">
        <v>77</v>
      </c>
      <c r="L1224" s="10"/>
      <c r="P1224" s="11"/>
      <c r="Q1224" s="6"/>
    </row>
    <row r="1225" spans="1:17" s="7" customFormat="1" ht="66" customHeight="1" x14ac:dyDescent="0.25">
      <c r="A1225" s="8"/>
      <c r="B1225" s="9"/>
      <c r="C1225" s="113" t="s">
        <v>217</v>
      </c>
      <c r="D1225" s="51" t="s">
        <v>12</v>
      </c>
      <c r="E1225" s="92">
        <v>2</v>
      </c>
      <c r="F1225" s="51" t="s">
        <v>77</v>
      </c>
      <c r="L1225" s="10"/>
      <c r="P1225" s="11"/>
      <c r="Q1225" s="6"/>
    </row>
    <row r="1226" spans="1:17" s="7" customFormat="1" ht="66" customHeight="1" x14ac:dyDescent="0.25">
      <c r="A1226" s="8"/>
      <c r="B1226" s="9"/>
      <c r="C1226" s="86" t="s">
        <v>349</v>
      </c>
      <c r="D1226" s="51" t="s">
        <v>12</v>
      </c>
      <c r="E1226" s="86">
        <v>2</v>
      </c>
      <c r="F1226" s="51" t="s">
        <v>77</v>
      </c>
      <c r="L1226" s="10"/>
      <c r="P1226" s="11"/>
      <c r="Q1226" s="6"/>
    </row>
    <row r="1227" spans="1:17" s="7" customFormat="1" ht="66" customHeight="1" x14ac:dyDescent="0.25">
      <c r="A1227" s="8"/>
      <c r="B1227" s="9"/>
      <c r="C1227" s="93" t="s">
        <v>350</v>
      </c>
      <c r="D1227" s="51" t="s">
        <v>12</v>
      </c>
      <c r="E1227" s="94">
        <v>1</v>
      </c>
      <c r="F1227" s="51" t="s">
        <v>77</v>
      </c>
      <c r="L1227" s="10"/>
      <c r="P1227" s="11"/>
      <c r="Q1227" s="6"/>
    </row>
    <row r="1228" spans="1:17" s="7" customFormat="1" ht="66" customHeight="1" x14ac:dyDescent="0.25">
      <c r="A1228" s="8"/>
      <c r="B1228" s="9"/>
      <c r="C1228" s="93" t="s">
        <v>232</v>
      </c>
      <c r="D1228" s="51" t="s">
        <v>12</v>
      </c>
      <c r="E1228" s="94">
        <v>4</v>
      </c>
      <c r="F1228" s="51" t="s">
        <v>77</v>
      </c>
      <c r="L1228" s="10"/>
      <c r="P1228" s="11"/>
      <c r="Q1228" s="6"/>
    </row>
    <row r="1229" spans="1:17" s="7" customFormat="1" ht="66" customHeight="1" x14ac:dyDescent="0.25">
      <c r="A1229" s="8"/>
      <c r="B1229" s="9"/>
      <c r="C1229" s="93" t="s">
        <v>104</v>
      </c>
      <c r="D1229" s="51" t="s">
        <v>12</v>
      </c>
      <c r="E1229" s="94">
        <v>1</v>
      </c>
      <c r="F1229" s="51" t="s">
        <v>77</v>
      </c>
      <c r="L1229" s="10"/>
      <c r="P1229" s="11"/>
      <c r="Q1229" s="6"/>
    </row>
    <row r="1230" spans="1:17" s="7" customFormat="1" ht="66" customHeight="1" x14ac:dyDescent="0.25">
      <c r="A1230" s="8"/>
      <c r="B1230" s="9"/>
      <c r="C1230" s="93" t="s">
        <v>221</v>
      </c>
      <c r="D1230" s="51" t="s">
        <v>12</v>
      </c>
      <c r="E1230" s="94">
        <v>1</v>
      </c>
      <c r="F1230" s="51" t="s">
        <v>77</v>
      </c>
      <c r="L1230" s="10"/>
      <c r="P1230" s="11"/>
      <c r="Q1230" s="6"/>
    </row>
    <row r="1231" spans="1:17" s="7" customFormat="1" ht="66" customHeight="1" x14ac:dyDescent="0.25">
      <c r="A1231" s="8"/>
      <c r="B1231" s="9"/>
      <c r="C1231" s="93" t="s">
        <v>351</v>
      </c>
      <c r="D1231" s="51" t="s">
        <v>12</v>
      </c>
      <c r="E1231" s="94">
        <v>1</v>
      </c>
      <c r="F1231" s="51" t="s">
        <v>77</v>
      </c>
      <c r="L1231" s="10"/>
      <c r="P1231" s="11"/>
      <c r="Q1231" s="6"/>
    </row>
    <row r="1232" spans="1:17" s="7" customFormat="1" ht="66" customHeight="1" x14ac:dyDescent="0.25">
      <c r="A1232" s="8"/>
      <c r="B1232" s="9"/>
      <c r="C1232" s="93" t="s">
        <v>352</v>
      </c>
      <c r="D1232" s="51" t="s">
        <v>12</v>
      </c>
      <c r="E1232" s="94">
        <v>1</v>
      </c>
      <c r="F1232" s="51" t="s">
        <v>77</v>
      </c>
      <c r="L1232" s="10"/>
      <c r="P1232" s="11"/>
      <c r="Q1232" s="6"/>
    </row>
    <row r="1233" spans="1:17" s="7" customFormat="1" ht="66" customHeight="1" x14ac:dyDescent="0.25">
      <c r="A1233" s="8"/>
      <c r="B1233" s="9"/>
      <c r="C1233" s="93" t="s">
        <v>353</v>
      </c>
      <c r="D1233" s="54" t="s">
        <v>12</v>
      </c>
      <c r="E1233" s="94">
        <v>3</v>
      </c>
      <c r="F1233" s="54" t="s">
        <v>77</v>
      </c>
      <c r="G1233" s="79"/>
      <c r="H1233" s="79"/>
      <c r="L1233" s="10"/>
      <c r="P1233" s="11"/>
      <c r="Q1233" s="6"/>
    </row>
    <row r="1234" spans="1:17" s="7" customFormat="1" ht="66" customHeight="1" x14ac:dyDescent="0.25">
      <c r="A1234" s="8"/>
      <c r="B1234" s="9"/>
      <c r="C1234" s="93" t="s">
        <v>354</v>
      </c>
      <c r="D1234" s="51" t="s">
        <v>12</v>
      </c>
      <c r="E1234" s="94">
        <v>3</v>
      </c>
      <c r="F1234" s="51" t="s">
        <v>77</v>
      </c>
      <c r="L1234" s="10"/>
      <c r="P1234" s="11"/>
      <c r="Q1234" s="6"/>
    </row>
    <row r="1235" spans="1:17" s="7" customFormat="1" ht="66" customHeight="1" x14ac:dyDescent="0.25">
      <c r="A1235" s="8"/>
      <c r="B1235" s="9"/>
      <c r="C1235" s="93" t="s">
        <v>224</v>
      </c>
      <c r="D1235" s="51" t="s">
        <v>12</v>
      </c>
      <c r="E1235" s="94">
        <v>1</v>
      </c>
      <c r="F1235" s="51" t="s">
        <v>77</v>
      </c>
      <c r="L1235" s="10"/>
      <c r="P1235" s="11"/>
      <c r="Q1235" s="6"/>
    </row>
    <row r="1236" spans="1:17" s="7" customFormat="1" ht="66" customHeight="1" x14ac:dyDescent="0.25">
      <c r="A1236" s="8"/>
      <c r="B1236" s="9"/>
      <c r="C1236" s="93" t="s">
        <v>71</v>
      </c>
      <c r="D1236" s="51" t="s">
        <v>12</v>
      </c>
      <c r="E1236" s="94">
        <v>1</v>
      </c>
      <c r="F1236" s="51" t="s">
        <v>77</v>
      </c>
      <c r="L1236" s="10"/>
      <c r="P1236" s="11"/>
      <c r="Q1236" s="6"/>
    </row>
    <row r="1237" spans="1:17" s="7" customFormat="1" ht="66" customHeight="1" x14ac:dyDescent="0.25">
      <c r="A1237" s="8"/>
      <c r="B1237" s="9"/>
      <c r="C1237" s="93" t="s">
        <v>225</v>
      </c>
      <c r="D1237" s="51" t="s">
        <v>12</v>
      </c>
      <c r="E1237" s="94">
        <v>2</v>
      </c>
      <c r="F1237" s="51" t="s">
        <v>77</v>
      </c>
      <c r="L1237" s="10"/>
      <c r="P1237" s="11"/>
      <c r="Q1237" s="6"/>
    </row>
    <row r="1238" spans="1:17" s="7" customFormat="1" ht="66" customHeight="1" x14ac:dyDescent="0.25">
      <c r="A1238" s="8"/>
      <c r="B1238" s="9"/>
      <c r="C1238" s="114" t="s">
        <v>214</v>
      </c>
      <c r="D1238" s="51"/>
      <c r="E1238" s="92"/>
      <c r="F1238" s="51"/>
      <c r="L1238" s="10"/>
      <c r="P1238" s="11"/>
      <c r="Q1238" s="6"/>
    </row>
    <row r="1239" spans="1:17" s="7" customFormat="1" ht="66" customHeight="1" x14ac:dyDescent="0.25">
      <c r="A1239" s="8"/>
      <c r="B1239" s="9"/>
      <c r="C1239" s="92" t="s">
        <v>355</v>
      </c>
      <c r="D1239" s="51" t="s">
        <v>12</v>
      </c>
      <c r="E1239" s="92">
        <v>1</v>
      </c>
      <c r="F1239" s="51" t="s">
        <v>77</v>
      </c>
      <c r="L1239" s="10"/>
      <c r="P1239" s="11"/>
      <c r="Q1239" s="6"/>
    </row>
    <row r="1240" spans="1:17" s="7" customFormat="1" ht="66" customHeight="1" x14ac:dyDescent="0.25">
      <c r="A1240" s="8"/>
      <c r="B1240" s="9"/>
      <c r="C1240" s="92" t="s">
        <v>356</v>
      </c>
      <c r="D1240" s="51" t="s">
        <v>12</v>
      </c>
      <c r="E1240" s="92">
        <v>1</v>
      </c>
      <c r="F1240" s="51" t="s">
        <v>77</v>
      </c>
      <c r="L1240" s="10"/>
      <c r="P1240" s="11"/>
      <c r="Q1240" s="6"/>
    </row>
    <row r="1241" spans="1:17" s="7" customFormat="1" ht="66" customHeight="1" x14ac:dyDescent="0.25">
      <c r="A1241" s="8"/>
      <c r="B1241" s="9"/>
      <c r="C1241" s="92" t="s">
        <v>357</v>
      </c>
      <c r="D1241" s="51" t="s">
        <v>12</v>
      </c>
      <c r="E1241" s="92">
        <v>4</v>
      </c>
      <c r="F1241" s="51" t="s">
        <v>77</v>
      </c>
      <c r="L1241" s="10"/>
      <c r="P1241" s="11"/>
      <c r="Q1241" s="6"/>
    </row>
    <row r="1242" spans="1:17" s="7" customFormat="1" ht="66" customHeight="1" x14ac:dyDescent="0.25">
      <c r="A1242" s="8"/>
      <c r="B1242" s="9"/>
      <c r="C1242" s="114" t="s">
        <v>228</v>
      </c>
      <c r="D1242" s="51" t="s">
        <v>12</v>
      </c>
      <c r="E1242" s="92">
        <v>1</v>
      </c>
      <c r="F1242" s="51" t="s">
        <v>77</v>
      </c>
      <c r="L1242" s="10"/>
      <c r="P1242" s="11"/>
      <c r="Q1242" s="6"/>
    </row>
    <row r="1243" spans="1:17" s="7" customFormat="1" ht="66" customHeight="1" x14ac:dyDescent="0.25">
      <c r="A1243" s="8"/>
      <c r="B1243" s="9"/>
      <c r="C1243" s="114" t="s">
        <v>358</v>
      </c>
      <c r="D1243" s="51" t="s">
        <v>12</v>
      </c>
      <c r="E1243" s="92">
        <v>1</v>
      </c>
      <c r="F1243" s="51" t="s">
        <v>77</v>
      </c>
      <c r="L1243" s="10"/>
      <c r="P1243" s="11"/>
      <c r="Q1243" s="6"/>
    </row>
    <row r="1244" spans="1:17" s="7" customFormat="1" ht="66" customHeight="1" x14ac:dyDescent="0.25">
      <c r="A1244" s="8"/>
      <c r="B1244" s="9"/>
      <c r="C1244" s="114" t="s">
        <v>359</v>
      </c>
      <c r="D1244" s="51" t="s">
        <v>12</v>
      </c>
      <c r="E1244" s="92">
        <v>1</v>
      </c>
      <c r="F1244" s="51" t="s">
        <v>77</v>
      </c>
      <c r="L1244" s="10"/>
      <c r="P1244" s="11"/>
      <c r="Q1244" s="6"/>
    </row>
    <row r="1245" spans="1:17" s="7" customFormat="1" ht="66" customHeight="1" x14ac:dyDescent="0.25">
      <c r="A1245" s="8"/>
      <c r="B1245" s="9"/>
      <c r="C1245" s="114" t="s">
        <v>70</v>
      </c>
      <c r="D1245" s="51" t="s">
        <v>12</v>
      </c>
      <c r="E1245" s="92">
        <v>3</v>
      </c>
      <c r="F1245" s="51" t="s">
        <v>77</v>
      </c>
      <c r="L1245" s="10"/>
      <c r="P1245" s="11"/>
      <c r="Q1245" s="6"/>
    </row>
    <row r="1246" spans="1:17" s="7" customFormat="1" ht="66" customHeight="1" x14ac:dyDescent="0.25">
      <c r="A1246" s="8"/>
      <c r="B1246" s="9"/>
      <c r="C1246" s="10"/>
      <c r="D1246" s="51"/>
      <c r="E1246" s="10"/>
      <c r="F1246" s="51"/>
      <c r="L1246" s="10"/>
      <c r="P1246" s="11"/>
      <c r="Q1246" s="6"/>
    </row>
    <row r="1247" spans="1:17" s="7" customFormat="1" ht="66" customHeight="1" x14ac:dyDescent="0.25">
      <c r="A1247" s="8"/>
      <c r="B1247" s="9"/>
      <c r="C1247" s="99" t="s">
        <v>48</v>
      </c>
      <c r="D1247" s="96" t="s">
        <v>12</v>
      </c>
      <c r="E1247" s="100">
        <f>SUM(E1224:E1245)</f>
        <v>36</v>
      </c>
      <c r="F1247" s="96" t="s">
        <v>77</v>
      </c>
      <c r="L1247" s="10"/>
      <c r="P1247" s="11"/>
      <c r="Q1247" s="6"/>
    </row>
    <row r="1248" spans="1:17" s="7" customFormat="1" ht="66" customHeight="1" x14ac:dyDescent="0.25">
      <c r="A1248" s="8"/>
      <c r="B1248" s="9"/>
      <c r="C1248" s="99"/>
      <c r="D1248" s="96"/>
      <c r="E1248" s="100"/>
      <c r="F1248" s="96"/>
      <c r="L1248" s="10"/>
      <c r="P1248" s="11"/>
      <c r="Q1248" s="6"/>
    </row>
    <row r="1249" spans="1:17" s="7" customFormat="1" ht="66" customHeight="1" x14ac:dyDescent="0.25">
      <c r="A1249" s="8"/>
      <c r="B1249" s="9"/>
      <c r="C1249" s="10"/>
      <c r="L1249" s="10"/>
      <c r="P1249" s="11"/>
      <c r="Q1249" s="6"/>
    </row>
    <row r="1250" spans="1:17" s="7" customFormat="1" ht="66" customHeight="1" x14ac:dyDescent="0.25">
      <c r="A1250" s="8"/>
      <c r="B1250" s="18" t="s">
        <v>360</v>
      </c>
      <c r="C1250" s="19" t="str">
        <f>VLOOKUP($B1250,[1]ORÇ_ANALITICO!$A$10:$K$137,2,0)</f>
        <v>18.027.0434-0</v>
      </c>
      <c r="D1250" s="157" t="str">
        <f>VLOOKUP($C1250,[1]ORÇ_ANALITICO!$B$10:$L$137,4,0)</f>
        <v>LUMINARIA TIPO SPOT,DIRECIONAL,EXCLUSIVE LAMPADA.FORNECIMENTO E COLOCACAO</v>
      </c>
      <c r="E1250" s="157" t="e">
        <f>VLOOKUP(D1250,[1]ORÇ_ANALITICO!C1104:M1203,2,0)</f>
        <v>#N/A</v>
      </c>
      <c r="F1250" s="157" t="e">
        <f>VLOOKUP(E1250,[1]ORÇ_ANALITICO!E1104:N1203,2,0)</f>
        <v>#N/A</v>
      </c>
      <c r="G1250" s="157" t="e">
        <f>VLOOKUP(F1250,[1]ORÇ_ANALITICO!F1104:O1203,2,0)</f>
        <v>#N/A</v>
      </c>
      <c r="H1250" s="157" t="e">
        <f>VLOOKUP(G1250,[1]ORÇ_ANALITICO!G1104:P1203,2,0)</f>
        <v>#N/A</v>
      </c>
      <c r="I1250" s="157" t="e">
        <f>VLOOKUP(H1250,[1]ORÇ_ANALITICO!H1104:Q1203,2,0)</f>
        <v>#N/A</v>
      </c>
      <c r="J1250" s="157" t="e">
        <f>VLOOKUP(I1250,[1]ORÇ_ANALITICO!I1104:R1203,2,0)</f>
        <v>#N/A</v>
      </c>
      <c r="K1250" s="157" t="e">
        <f>VLOOKUP(J1250,[1]ORÇ_ANALITICO!J1104:S1203,2,0)</f>
        <v>#N/A</v>
      </c>
      <c r="L1250" s="157" t="e">
        <f>VLOOKUP(K1250,[1]ORÇ_ANALITICO!K1104:T1203,2,0)</f>
        <v>#N/A</v>
      </c>
      <c r="M1250" s="157" t="e">
        <f>VLOOKUP(L1250,[1]ORÇ_ANALITICO!L1104:U1203,2,0)</f>
        <v>#N/A</v>
      </c>
      <c r="N1250" s="157" t="e">
        <f>VLOOKUP(M1250,[1]ORÇ_ANALITICO!M1104:V1203,2,0)</f>
        <v>#N/A</v>
      </c>
      <c r="O1250" s="20" t="str">
        <f>VLOOKUP($C1250,[1]ORÇ_ANALITICO!$B$10:$L$137,5,0)</f>
        <v>UN</v>
      </c>
      <c r="P1250" s="20">
        <f>E1257</f>
        <v>13</v>
      </c>
      <c r="Q1250" s="6"/>
    </row>
    <row r="1251" spans="1:17" s="7" customFormat="1" ht="66" customHeight="1" x14ac:dyDescent="0.25">
      <c r="A1251" s="8"/>
      <c r="B1251" s="9"/>
      <c r="C1251" s="10"/>
      <c r="L1251" s="10"/>
      <c r="P1251" s="11"/>
      <c r="Q1251" s="6"/>
    </row>
    <row r="1252" spans="1:17" s="7" customFormat="1" ht="66" customHeight="1" x14ac:dyDescent="0.25">
      <c r="A1252" s="8"/>
      <c r="B1252" s="9"/>
      <c r="C1252" s="10"/>
      <c r="E1252" s="89" t="s">
        <v>347</v>
      </c>
      <c r="L1252" s="10"/>
      <c r="P1252" s="11"/>
      <c r="Q1252" s="6"/>
    </row>
    <row r="1253" spans="1:17" s="7" customFormat="1" ht="66" customHeight="1" x14ac:dyDescent="0.25">
      <c r="A1253" s="8"/>
      <c r="B1253" s="9"/>
      <c r="C1253" s="93" t="s">
        <v>210</v>
      </c>
      <c r="D1253" s="94"/>
      <c r="E1253" s="10"/>
      <c r="F1253" s="10"/>
      <c r="H1253" s="79"/>
      <c r="L1253" s="10"/>
      <c r="P1253" s="11"/>
      <c r="Q1253" s="6"/>
    </row>
    <row r="1254" spans="1:17" s="7" customFormat="1" ht="66" customHeight="1" x14ac:dyDescent="0.25">
      <c r="A1254" s="8"/>
      <c r="B1254" s="9"/>
      <c r="C1254" s="92" t="s">
        <v>235</v>
      </c>
      <c r="D1254" s="51" t="s">
        <v>12</v>
      </c>
      <c r="E1254" s="92">
        <v>12</v>
      </c>
      <c r="F1254" s="51" t="s">
        <v>77</v>
      </c>
      <c r="H1254" s="79"/>
      <c r="L1254" s="10"/>
      <c r="P1254" s="11"/>
      <c r="Q1254" s="6"/>
    </row>
    <row r="1255" spans="1:17" s="7" customFormat="1" ht="66" customHeight="1" x14ac:dyDescent="0.25">
      <c r="A1255" s="8"/>
      <c r="B1255" s="9"/>
      <c r="C1255" s="51" t="s">
        <v>361</v>
      </c>
      <c r="D1255" s="51" t="s">
        <v>12</v>
      </c>
      <c r="E1255" s="92">
        <v>1</v>
      </c>
      <c r="F1255" s="51" t="s">
        <v>77</v>
      </c>
      <c r="L1255" s="10"/>
      <c r="P1255" s="11"/>
      <c r="Q1255" s="6"/>
    </row>
    <row r="1256" spans="1:17" s="7" customFormat="1" ht="66" customHeight="1" x14ac:dyDescent="0.25">
      <c r="A1256" s="8"/>
      <c r="B1256" s="9"/>
      <c r="C1256" s="10"/>
      <c r="D1256" s="10"/>
      <c r="E1256" s="10"/>
      <c r="F1256" s="10"/>
      <c r="L1256" s="10"/>
      <c r="P1256" s="11"/>
      <c r="Q1256" s="6"/>
    </row>
    <row r="1257" spans="1:17" s="7" customFormat="1" ht="66" customHeight="1" x14ac:dyDescent="0.25">
      <c r="A1257" s="8"/>
      <c r="B1257" s="9"/>
      <c r="C1257" s="96" t="s">
        <v>48</v>
      </c>
      <c r="D1257" s="96" t="s">
        <v>12</v>
      </c>
      <c r="E1257" s="96">
        <f>SUM(E1254:E1255)</f>
        <v>13</v>
      </c>
      <c r="F1257" s="96" t="s">
        <v>77</v>
      </c>
      <c r="L1257" s="10"/>
      <c r="P1257" s="11"/>
      <c r="Q1257" s="6"/>
    </row>
    <row r="1258" spans="1:17" s="7" customFormat="1" ht="66" customHeight="1" x14ac:dyDescent="0.25">
      <c r="A1258" s="8"/>
      <c r="B1258" s="9"/>
      <c r="C1258" s="10"/>
      <c r="L1258" s="10"/>
      <c r="P1258" s="11"/>
      <c r="Q1258" s="6"/>
    </row>
    <row r="1259" spans="1:17" s="7" customFormat="1" ht="66" customHeight="1" x14ac:dyDescent="0.25">
      <c r="A1259" s="8"/>
      <c r="B1259" s="18" t="s">
        <v>362</v>
      </c>
      <c r="C1259" s="19" t="str">
        <f>VLOOKUP($B1259,[1]ORÇ_ANALITICO!$A$10:$K$137,2,0)</f>
        <v>18.027.0045-0</v>
      </c>
      <c r="D1259" s="157" t="str">
        <f>VLOOKUP($C1259,[1]ORÇ_ANALITICO!$B$10:$L$137,4,0)</f>
        <v>LUMINARIA DE EMERGENCIA DE SOBREPOR,EM PLASTICO,EQUIPADA COMBATERIA SELADA RECARREGAVEL COM 30 LAMPADAS EM LED. FORNECIMENTO E COLOCACAO</v>
      </c>
      <c r="E1259" s="157" t="e">
        <f>VLOOKUP(D1259,[1]ORÇ_ANALITICO!C1113:M1212,2,0)</f>
        <v>#N/A</v>
      </c>
      <c r="F1259" s="157" t="e">
        <f>VLOOKUP(E1259,[1]ORÇ_ANALITICO!E1113:N1212,2,0)</f>
        <v>#N/A</v>
      </c>
      <c r="G1259" s="157" t="e">
        <f>VLOOKUP(F1259,[1]ORÇ_ANALITICO!F1113:O1212,2,0)</f>
        <v>#N/A</v>
      </c>
      <c r="H1259" s="157" t="e">
        <f>VLOOKUP(G1259,[1]ORÇ_ANALITICO!G1113:P1212,2,0)</f>
        <v>#N/A</v>
      </c>
      <c r="I1259" s="157" t="e">
        <f>VLOOKUP(H1259,[1]ORÇ_ANALITICO!H1113:Q1212,2,0)</f>
        <v>#N/A</v>
      </c>
      <c r="J1259" s="157" t="e">
        <f>VLOOKUP(I1259,[1]ORÇ_ANALITICO!I1113:R1212,2,0)</f>
        <v>#N/A</v>
      </c>
      <c r="K1259" s="157" t="e">
        <f>VLOOKUP(J1259,[1]ORÇ_ANALITICO!J1113:S1212,2,0)</f>
        <v>#N/A</v>
      </c>
      <c r="L1259" s="157" t="e">
        <f>VLOOKUP(K1259,[1]ORÇ_ANALITICO!K1113:T1212,2,0)</f>
        <v>#N/A</v>
      </c>
      <c r="M1259" s="157" t="e">
        <f>VLOOKUP(L1259,[1]ORÇ_ANALITICO!L1113:U1212,2,0)</f>
        <v>#N/A</v>
      </c>
      <c r="N1259" s="157" t="e">
        <f>VLOOKUP(M1259,[1]ORÇ_ANALITICO!M1113:V1212,2,0)</f>
        <v>#N/A</v>
      </c>
      <c r="O1259" s="20" t="str">
        <f>VLOOKUP($C1259,[1]ORÇ_ANALITICO!$B$10:$L$137,5,0)</f>
        <v>UN</v>
      </c>
      <c r="P1259" s="20">
        <f>E1281</f>
        <v>22</v>
      </c>
      <c r="Q1259" s="6"/>
    </row>
    <row r="1260" spans="1:17" s="7" customFormat="1" ht="66" customHeight="1" x14ac:dyDescent="0.25">
      <c r="A1260" s="8"/>
      <c r="B1260" s="9"/>
      <c r="C1260" s="10"/>
      <c r="L1260" s="10"/>
      <c r="P1260" s="11"/>
      <c r="Q1260" s="6"/>
    </row>
    <row r="1261" spans="1:17" s="7" customFormat="1" ht="66" customHeight="1" x14ac:dyDescent="0.25">
      <c r="A1261" s="8"/>
      <c r="B1261" s="9"/>
      <c r="E1261" s="89" t="s">
        <v>347</v>
      </c>
      <c r="L1261" s="10"/>
      <c r="P1261" s="11"/>
      <c r="Q1261" s="6"/>
    </row>
    <row r="1262" spans="1:17" s="7" customFormat="1" ht="66" customHeight="1" x14ac:dyDescent="0.25">
      <c r="A1262" s="8"/>
      <c r="B1262" s="9"/>
      <c r="L1262" s="10"/>
      <c r="P1262" s="11"/>
      <c r="Q1262" s="6"/>
    </row>
    <row r="1263" spans="1:17" s="7" customFormat="1" ht="66" customHeight="1" x14ac:dyDescent="0.25">
      <c r="A1263" s="8"/>
      <c r="B1263" s="9"/>
      <c r="C1263" s="86" t="s">
        <v>210</v>
      </c>
      <c r="D1263" s="86"/>
      <c r="E1263" s="32"/>
      <c r="F1263" s="32"/>
      <c r="L1263" s="10"/>
      <c r="P1263" s="11"/>
      <c r="Q1263" s="6"/>
    </row>
    <row r="1264" spans="1:17" s="7" customFormat="1" ht="66" customHeight="1" x14ac:dyDescent="0.25">
      <c r="A1264" s="8"/>
      <c r="B1264" s="9"/>
      <c r="C1264" s="86" t="s">
        <v>348</v>
      </c>
      <c r="D1264" s="24" t="s">
        <v>12</v>
      </c>
      <c r="E1264" s="86">
        <v>1</v>
      </c>
      <c r="F1264" s="24" t="s">
        <v>77</v>
      </c>
      <c r="H1264" s="79"/>
      <c r="L1264" s="10"/>
      <c r="P1264" s="11"/>
      <c r="Q1264" s="6"/>
    </row>
    <row r="1265" spans="1:17" s="7" customFormat="1" ht="66" customHeight="1" x14ac:dyDescent="0.25">
      <c r="A1265" s="8"/>
      <c r="B1265" s="9"/>
      <c r="C1265" s="94" t="s">
        <v>217</v>
      </c>
      <c r="D1265" s="24" t="s">
        <v>12</v>
      </c>
      <c r="E1265" s="86">
        <v>1</v>
      </c>
      <c r="F1265" s="24" t="s">
        <v>77</v>
      </c>
      <c r="L1265" s="10"/>
      <c r="P1265" s="11"/>
      <c r="Q1265" s="6"/>
    </row>
    <row r="1266" spans="1:17" s="7" customFormat="1" ht="66" customHeight="1" x14ac:dyDescent="0.25">
      <c r="A1266" s="8"/>
      <c r="B1266" s="9"/>
      <c r="C1266" s="86" t="s">
        <v>349</v>
      </c>
      <c r="D1266" s="24" t="s">
        <v>12</v>
      </c>
      <c r="E1266" s="86">
        <v>1</v>
      </c>
      <c r="F1266" s="24" t="s">
        <v>77</v>
      </c>
      <c r="L1266" s="10"/>
      <c r="P1266" s="11"/>
      <c r="Q1266" s="6"/>
    </row>
    <row r="1267" spans="1:17" s="7" customFormat="1" ht="66" customHeight="1" x14ac:dyDescent="0.25">
      <c r="A1267" s="8"/>
      <c r="B1267" s="9"/>
      <c r="C1267" s="93" t="s">
        <v>350</v>
      </c>
      <c r="D1267" s="24" t="s">
        <v>12</v>
      </c>
      <c r="E1267" s="94">
        <v>1</v>
      </c>
      <c r="F1267" s="24" t="s">
        <v>77</v>
      </c>
      <c r="L1267" s="10"/>
      <c r="P1267" s="11"/>
      <c r="Q1267" s="6"/>
    </row>
    <row r="1268" spans="1:17" s="7" customFormat="1" ht="66" customHeight="1" x14ac:dyDescent="0.25">
      <c r="A1268" s="8"/>
      <c r="B1268" s="9"/>
      <c r="C1268" s="93" t="s">
        <v>232</v>
      </c>
      <c r="D1268" s="24" t="s">
        <v>12</v>
      </c>
      <c r="E1268" s="94">
        <v>1</v>
      </c>
      <c r="F1268" s="24" t="s">
        <v>77</v>
      </c>
      <c r="L1268" s="10"/>
      <c r="P1268" s="11"/>
      <c r="Q1268" s="6"/>
    </row>
    <row r="1269" spans="1:17" s="7" customFormat="1" ht="66" customHeight="1" x14ac:dyDescent="0.25">
      <c r="A1269" s="8"/>
      <c r="B1269" s="9"/>
      <c r="C1269" s="93" t="s">
        <v>104</v>
      </c>
      <c r="D1269" s="24" t="s">
        <v>12</v>
      </c>
      <c r="E1269" s="94">
        <v>1</v>
      </c>
      <c r="F1269" s="24" t="s">
        <v>77</v>
      </c>
      <c r="L1269" s="10"/>
      <c r="P1269" s="11"/>
      <c r="Q1269" s="6"/>
    </row>
    <row r="1270" spans="1:17" s="7" customFormat="1" ht="66" customHeight="1" x14ac:dyDescent="0.25">
      <c r="A1270" s="8"/>
      <c r="B1270" s="9"/>
      <c r="C1270" s="93" t="s">
        <v>353</v>
      </c>
      <c r="D1270" s="24" t="s">
        <v>12</v>
      </c>
      <c r="E1270" s="94">
        <v>1</v>
      </c>
      <c r="F1270" s="24" t="s">
        <v>77</v>
      </c>
      <c r="L1270" s="10"/>
      <c r="P1270" s="11"/>
      <c r="Q1270" s="6"/>
    </row>
    <row r="1271" spans="1:17" s="7" customFormat="1" ht="66" customHeight="1" x14ac:dyDescent="0.25">
      <c r="A1271" s="8"/>
      <c r="B1271" s="9"/>
      <c r="C1271" s="93" t="s">
        <v>354</v>
      </c>
      <c r="D1271" s="24" t="s">
        <v>12</v>
      </c>
      <c r="E1271" s="94">
        <v>1</v>
      </c>
      <c r="F1271" s="24" t="s">
        <v>77</v>
      </c>
      <c r="L1271" s="10"/>
      <c r="P1271" s="11"/>
      <c r="Q1271" s="6"/>
    </row>
    <row r="1272" spans="1:17" s="7" customFormat="1" ht="66" customHeight="1" x14ac:dyDescent="0.25">
      <c r="A1272" s="8"/>
      <c r="B1272" s="9"/>
      <c r="C1272" s="93" t="s">
        <v>71</v>
      </c>
      <c r="D1272" s="24" t="s">
        <v>12</v>
      </c>
      <c r="E1272" s="94">
        <v>1</v>
      </c>
      <c r="F1272" s="24" t="s">
        <v>77</v>
      </c>
      <c r="L1272" s="10"/>
      <c r="P1272" s="11"/>
      <c r="Q1272" s="6"/>
    </row>
    <row r="1273" spans="1:17" s="7" customFormat="1" ht="66" customHeight="1" x14ac:dyDescent="0.25">
      <c r="A1273" s="8"/>
      <c r="B1273" s="9"/>
      <c r="C1273" s="86" t="s">
        <v>214</v>
      </c>
      <c r="D1273" s="24"/>
      <c r="E1273" s="86"/>
      <c r="F1273" s="24"/>
      <c r="L1273" s="10"/>
      <c r="P1273" s="11"/>
      <c r="Q1273" s="6"/>
    </row>
    <row r="1274" spans="1:17" s="7" customFormat="1" ht="66" customHeight="1" x14ac:dyDescent="0.25">
      <c r="A1274" s="8"/>
      <c r="B1274" s="9"/>
      <c r="C1274" s="86" t="s">
        <v>355</v>
      </c>
      <c r="D1274" s="24" t="s">
        <v>12</v>
      </c>
      <c r="E1274" s="86">
        <v>1</v>
      </c>
      <c r="F1274" s="24" t="s">
        <v>77</v>
      </c>
      <c r="L1274" s="10"/>
      <c r="P1274" s="11"/>
      <c r="Q1274" s="6"/>
    </row>
    <row r="1275" spans="1:17" s="7" customFormat="1" ht="66" customHeight="1" x14ac:dyDescent="0.25">
      <c r="A1275" s="8"/>
      <c r="B1275" s="9"/>
      <c r="C1275" s="86" t="s">
        <v>356</v>
      </c>
      <c r="D1275" s="24" t="s">
        <v>12</v>
      </c>
      <c r="E1275" s="86">
        <v>1</v>
      </c>
      <c r="F1275" s="24" t="s">
        <v>77</v>
      </c>
      <c r="L1275" s="10"/>
      <c r="P1275" s="11"/>
      <c r="Q1275" s="6"/>
    </row>
    <row r="1276" spans="1:17" s="7" customFormat="1" ht="66" customHeight="1" x14ac:dyDescent="0.25">
      <c r="A1276" s="8"/>
      <c r="B1276" s="9"/>
      <c r="C1276" s="86" t="s">
        <v>233</v>
      </c>
      <c r="D1276" s="24" t="s">
        <v>12</v>
      </c>
      <c r="E1276" s="86">
        <v>1</v>
      </c>
      <c r="F1276" s="24" t="s">
        <v>77</v>
      </c>
      <c r="L1276" s="10"/>
      <c r="P1276" s="11"/>
      <c r="Q1276" s="6"/>
    </row>
    <row r="1277" spans="1:17" s="7" customFormat="1" ht="66" customHeight="1" x14ac:dyDescent="0.25">
      <c r="A1277" s="8"/>
      <c r="B1277" s="9"/>
      <c r="C1277" s="86" t="s">
        <v>215</v>
      </c>
      <c r="D1277" s="24" t="s">
        <v>12</v>
      </c>
      <c r="E1277" s="86">
        <v>2</v>
      </c>
      <c r="F1277" s="24" t="s">
        <v>77</v>
      </c>
      <c r="L1277" s="10"/>
      <c r="P1277" s="11"/>
      <c r="Q1277" s="6"/>
    </row>
    <row r="1278" spans="1:17" s="7" customFormat="1" ht="66" customHeight="1" x14ac:dyDescent="0.25">
      <c r="A1278" s="8"/>
      <c r="B1278" s="9"/>
      <c r="C1278" s="86" t="s">
        <v>70</v>
      </c>
      <c r="D1278" s="24" t="s">
        <v>12</v>
      </c>
      <c r="E1278" s="86">
        <v>2</v>
      </c>
      <c r="F1278" s="24" t="s">
        <v>77</v>
      </c>
      <c r="L1278" s="10"/>
      <c r="P1278" s="11"/>
      <c r="Q1278" s="6"/>
    </row>
    <row r="1279" spans="1:17" s="7" customFormat="1" ht="66" customHeight="1" x14ac:dyDescent="0.25">
      <c r="A1279" s="8"/>
      <c r="B1279" s="9"/>
      <c r="C1279" s="86" t="s">
        <v>64</v>
      </c>
      <c r="D1279" s="24" t="s">
        <v>12</v>
      </c>
      <c r="E1279" s="86">
        <v>6</v>
      </c>
      <c r="F1279" s="24" t="s">
        <v>77</v>
      </c>
      <c r="L1279" s="10"/>
      <c r="P1279" s="11"/>
      <c r="Q1279" s="6"/>
    </row>
    <row r="1280" spans="1:17" s="7" customFormat="1" ht="66" customHeight="1" x14ac:dyDescent="0.25">
      <c r="A1280" s="8"/>
      <c r="B1280" s="9"/>
      <c r="C1280" s="32"/>
      <c r="D1280" s="32"/>
      <c r="E1280" s="32"/>
      <c r="F1280" s="32"/>
      <c r="L1280" s="10"/>
      <c r="P1280" s="11"/>
      <c r="Q1280" s="6"/>
    </row>
    <row r="1281" spans="1:17" s="7" customFormat="1" ht="66" customHeight="1" x14ac:dyDescent="0.25">
      <c r="A1281" s="8"/>
      <c r="B1281" s="9"/>
      <c r="C1281" s="88" t="s">
        <v>48</v>
      </c>
      <c r="D1281" s="27" t="s">
        <v>12</v>
      </c>
      <c r="E1281" s="88">
        <f>SUM(E1264:E1279)</f>
        <v>22</v>
      </c>
      <c r="F1281" s="27" t="s">
        <v>77</v>
      </c>
      <c r="L1281" s="10"/>
      <c r="P1281" s="11"/>
      <c r="Q1281" s="6"/>
    </row>
    <row r="1282" spans="1:17" s="7" customFormat="1" ht="66" customHeight="1" x14ac:dyDescent="0.25">
      <c r="A1282" s="8"/>
      <c r="B1282" s="9"/>
      <c r="C1282" s="10"/>
      <c r="L1282" s="10"/>
      <c r="P1282" s="11"/>
      <c r="Q1282" s="6"/>
    </row>
    <row r="1283" spans="1:17" s="7" customFormat="1" ht="66" customHeight="1" x14ac:dyDescent="0.25">
      <c r="A1283" s="8"/>
      <c r="B1283" s="18" t="s">
        <v>363</v>
      </c>
      <c r="C1283" s="19" t="str">
        <f>VLOOKUP($B1283,[1]ORÇ_ANALITICO!$A$10:$K$137,2,0)</f>
        <v>18.002.0065-0</v>
      </c>
      <c r="D1283" s="157" t="str">
        <f>VLOOKUP($C1283,[1]ORÇ_ANALITICO!$B$10:$L$137,4,0)</f>
        <v>BACIA SANITARIA DE LOUCA BRANCA,COM CAIXA ACOPLADA,PADRAO POPULAR,INCLUSIVE ASSENTO PLASTICO PADRAO POPULAR,RABICHO EM PVC,ANEL DE VEDACAO E ACESSORIOS DE FIXACAO.FORNECIMENTO</v>
      </c>
      <c r="E1283" s="157" t="e">
        <f>VLOOKUP(D1283,[1]ORÇ_ANALITICO!C1137:M1236,2,0)</f>
        <v>#N/A</v>
      </c>
      <c r="F1283" s="157" t="e">
        <f>VLOOKUP(E1283,[1]ORÇ_ANALITICO!E1137:N1236,2,0)</f>
        <v>#N/A</v>
      </c>
      <c r="G1283" s="157" t="e">
        <f>VLOOKUP(F1283,[1]ORÇ_ANALITICO!F1137:O1236,2,0)</f>
        <v>#N/A</v>
      </c>
      <c r="H1283" s="157" t="e">
        <f>VLOOKUP(G1283,[1]ORÇ_ANALITICO!G1137:P1236,2,0)</f>
        <v>#N/A</v>
      </c>
      <c r="I1283" s="157" t="e">
        <f>VLOOKUP(H1283,[1]ORÇ_ANALITICO!H1137:Q1236,2,0)</f>
        <v>#N/A</v>
      </c>
      <c r="J1283" s="157" t="e">
        <f>VLOOKUP(I1283,[1]ORÇ_ANALITICO!I1137:R1236,2,0)</f>
        <v>#N/A</v>
      </c>
      <c r="K1283" s="157" t="e">
        <f>VLOOKUP(J1283,[1]ORÇ_ANALITICO!J1137:S1236,2,0)</f>
        <v>#N/A</v>
      </c>
      <c r="L1283" s="157" t="e">
        <f>VLOOKUP(K1283,[1]ORÇ_ANALITICO!K1137:T1236,2,0)</f>
        <v>#N/A</v>
      </c>
      <c r="M1283" s="157" t="e">
        <f>VLOOKUP(L1283,[1]ORÇ_ANALITICO!L1137:U1236,2,0)</f>
        <v>#N/A</v>
      </c>
      <c r="N1283" s="157" t="e">
        <f>VLOOKUP(M1283,[1]ORÇ_ANALITICO!M1137:V1236,2,0)</f>
        <v>#N/A</v>
      </c>
      <c r="O1283" s="20" t="str">
        <f>VLOOKUP($C1283,[1]ORÇ_ANALITICO!$B$10:$L$137,5,0)</f>
        <v>UN</v>
      </c>
      <c r="P1283" s="20">
        <f>E1292</f>
        <v>8</v>
      </c>
      <c r="Q1283" s="6"/>
    </row>
    <row r="1284" spans="1:17" s="7" customFormat="1" ht="66" customHeight="1" x14ac:dyDescent="0.25">
      <c r="A1284" s="8"/>
      <c r="B1284" s="9"/>
      <c r="C1284" s="10"/>
      <c r="L1284" s="10"/>
      <c r="P1284" s="11"/>
      <c r="Q1284" s="6"/>
    </row>
    <row r="1285" spans="1:17" s="7" customFormat="1" ht="66" customHeight="1" x14ac:dyDescent="0.25">
      <c r="A1285" s="8"/>
      <c r="B1285" s="9"/>
      <c r="C1285" s="22"/>
      <c r="D1285" s="24"/>
      <c r="E1285" s="48" t="s">
        <v>75</v>
      </c>
      <c r="F1285" s="48"/>
      <c r="L1285" s="10"/>
      <c r="P1285" s="11"/>
      <c r="Q1285" s="6"/>
    </row>
    <row r="1286" spans="1:17" s="7" customFormat="1" ht="66" customHeight="1" x14ac:dyDescent="0.25">
      <c r="A1286" s="8"/>
      <c r="B1286" s="9"/>
      <c r="C1286" s="22"/>
      <c r="D1286" s="24"/>
      <c r="E1286" s="48"/>
      <c r="F1286" s="48"/>
      <c r="L1286" s="10"/>
      <c r="P1286" s="11"/>
      <c r="Q1286" s="6"/>
    </row>
    <row r="1287" spans="1:17" s="7" customFormat="1" ht="66" customHeight="1" x14ac:dyDescent="0.25">
      <c r="A1287" s="8"/>
      <c r="B1287" s="9"/>
      <c r="C1287" s="22" t="s">
        <v>106</v>
      </c>
      <c r="D1287" s="24" t="s">
        <v>12</v>
      </c>
      <c r="E1287" s="48">
        <v>2</v>
      </c>
      <c r="F1287" s="48" t="s">
        <v>77</v>
      </c>
      <c r="L1287" s="10"/>
      <c r="P1287" s="11"/>
      <c r="Q1287" s="6"/>
    </row>
    <row r="1288" spans="1:17" s="7" customFormat="1" ht="66" customHeight="1" x14ac:dyDescent="0.25">
      <c r="A1288" s="8"/>
      <c r="B1288" s="9"/>
      <c r="C1288" s="22" t="s">
        <v>107</v>
      </c>
      <c r="D1288" s="24" t="s">
        <v>12</v>
      </c>
      <c r="E1288" s="48">
        <v>2</v>
      </c>
      <c r="F1288" s="48" t="s">
        <v>77</v>
      </c>
      <c r="L1288" s="10"/>
      <c r="P1288" s="11"/>
      <c r="Q1288" s="6"/>
    </row>
    <row r="1289" spans="1:17" s="7" customFormat="1" ht="66" customHeight="1" x14ac:dyDescent="0.25">
      <c r="A1289" s="8"/>
      <c r="B1289" s="9"/>
      <c r="C1289" s="22" t="s">
        <v>109</v>
      </c>
      <c r="D1289" s="24" t="s">
        <v>12</v>
      </c>
      <c r="E1289" s="48">
        <v>2</v>
      </c>
      <c r="F1289" s="48" t="s">
        <v>77</v>
      </c>
      <c r="L1289" s="10"/>
      <c r="P1289" s="11"/>
      <c r="Q1289" s="6"/>
    </row>
    <row r="1290" spans="1:17" s="7" customFormat="1" ht="66" customHeight="1" x14ac:dyDescent="0.25">
      <c r="A1290" s="8"/>
      <c r="B1290" s="9"/>
      <c r="C1290" s="22" t="s">
        <v>110</v>
      </c>
      <c r="D1290" s="24" t="s">
        <v>12</v>
      </c>
      <c r="E1290" s="48">
        <v>2</v>
      </c>
      <c r="F1290" s="48" t="s">
        <v>77</v>
      </c>
      <c r="L1290" s="10"/>
      <c r="P1290" s="11"/>
      <c r="Q1290" s="6"/>
    </row>
    <row r="1291" spans="1:17" s="7" customFormat="1" ht="66" customHeight="1" x14ac:dyDescent="0.25">
      <c r="A1291" s="8"/>
      <c r="B1291" s="9"/>
      <c r="C1291" s="10"/>
      <c r="L1291" s="10"/>
      <c r="P1291" s="11"/>
      <c r="Q1291" s="6"/>
    </row>
    <row r="1292" spans="1:17" s="7" customFormat="1" ht="66" customHeight="1" x14ac:dyDescent="0.25">
      <c r="A1292" s="8"/>
      <c r="B1292" s="9"/>
      <c r="C1292" s="52" t="s">
        <v>48</v>
      </c>
      <c r="D1292" s="27" t="s">
        <v>12</v>
      </c>
      <c r="E1292" s="26">
        <f>SUM(E1287:E1290)</f>
        <v>8</v>
      </c>
      <c r="F1292" s="26" t="s">
        <v>77</v>
      </c>
      <c r="L1292" s="10"/>
      <c r="P1292" s="11"/>
      <c r="Q1292" s="6"/>
    </row>
    <row r="1293" spans="1:17" s="7" customFormat="1" ht="66" customHeight="1" x14ac:dyDescent="0.25">
      <c r="A1293" s="8"/>
      <c r="B1293" s="9"/>
      <c r="C1293" s="52"/>
      <c r="D1293" s="27"/>
      <c r="E1293" s="26"/>
      <c r="F1293" s="26"/>
      <c r="L1293" s="10"/>
      <c r="P1293" s="11"/>
      <c r="Q1293" s="6"/>
    </row>
    <row r="1294" spans="1:17" s="7" customFormat="1" ht="66" customHeight="1" x14ac:dyDescent="0.25">
      <c r="A1294" s="8"/>
      <c r="B1294" s="18" t="s">
        <v>364</v>
      </c>
      <c r="C1294" s="19" t="str">
        <f>VLOOKUP($B1294,[1]ORÇ_ANALITICO!$A$10:$K$137,2,0)</f>
        <v>18.002.0090-0</v>
      </c>
      <c r="D1294" s="157" t="str">
        <f>VLOOKUP($C1294,[1]ORÇ_ANALITICO!$B$10:$L$137,4,0)</f>
        <v>BACIA SANITARIA DE LOUCA BRANCA,CONVENCIONAL,CONFORME ABNT NBR 9050 PARA ACESSIBILIDADE,INCLUSIVE ASSENTO PLASTICO PADRAO MEDIO LUXO,TUBO DE LIGACAO,ANEL DE VEDACAO E ACESSORIOS DEFIXACAO.FORNECIMENTO</v>
      </c>
      <c r="E1294" s="157" t="e">
        <f>VLOOKUP(D1294,[1]ORÇ_ANALITICO!C1148:M1247,2,0)</f>
        <v>#N/A</v>
      </c>
      <c r="F1294" s="157" t="e">
        <f>VLOOKUP(E1294,[1]ORÇ_ANALITICO!E1148:N1247,2,0)</f>
        <v>#N/A</v>
      </c>
      <c r="G1294" s="157" t="e">
        <f>VLOOKUP(F1294,[1]ORÇ_ANALITICO!F1148:O1247,2,0)</f>
        <v>#N/A</v>
      </c>
      <c r="H1294" s="157" t="e">
        <f>VLOOKUP(G1294,[1]ORÇ_ANALITICO!G1148:P1247,2,0)</f>
        <v>#N/A</v>
      </c>
      <c r="I1294" s="157" t="e">
        <f>VLOOKUP(H1294,[1]ORÇ_ANALITICO!H1148:Q1247,2,0)</f>
        <v>#N/A</v>
      </c>
      <c r="J1294" s="157" t="e">
        <f>VLOOKUP(I1294,[1]ORÇ_ANALITICO!I1148:R1247,2,0)</f>
        <v>#N/A</v>
      </c>
      <c r="K1294" s="157" t="e">
        <f>VLOOKUP(J1294,[1]ORÇ_ANALITICO!J1148:S1247,2,0)</f>
        <v>#N/A</v>
      </c>
      <c r="L1294" s="157" t="e">
        <f>VLOOKUP(K1294,[1]ORÇ_ANALITICO!K1148:T1247,2,0)</f>
        <v>#N/A</v>
      </c>
      <c r="M1294" s="157" t="e">
        <f>VLOOKUP(L1294,[1]ORÇ_ANALITICO!L1148:U1247,2,0)</f>
        <v>#N/A</v>
      </c>
      <c r="N1294" s="157" t="e">
        <f>VLOOKUP(M1294,[1]ORÇ_ANALITICO!M1148:V1247,2,0)</f>
        <v>#N/A</v>
      </c>
      <c r="O1294" s="20" t="str">
        <f>VLOOKUP($C1294,[1]ORÇ_ANALITICO!$B$10:$L$137,5,0)</f>
        <v>UN</v>
      </c>
      <c r="P1294" s="20">
        <f>E1301</f>
        <v>2</v>
      </c>
      <c r="Q1294" s="6"/>
    </row>
    <row r="1295" spans="1:17" s="7" customFormat="1" ht="66" customHeight="1" x14ac:dyDescent="0.25">
      <c r="A1295" s="8"/>
      <c r="B1295" s="9"/>
      <c r="C1295" s="10"/>
      <c r="L1295" s="10"/>
      <c r="P1295" s="11"/>
      <c r="Q1295" s="6"/>
    </row>
    <row r="1296" spans="1:17" s="7" customFormat="1" ht="66" customHeight="1" x14ac:dyDescent="0.25">
      <c r="A1296" s="8"/>
      <c r="B1296" s="9"/>
      <c r="C1296" s="22"/>
      <c r="D1296" s="24"/>
      <c r="E1296" s="48" t="s">
        <v>75</v>
      </c>
      <c r="F1296" s="48"/>
      <c r="G1296" s="49"/>
      <c r="H1296" s="49"/>
      <c r="I1296" s="49"/>
      <c r="J1296" s="49"/>
      <c r="L1296" s="10"/>
      <c r="P1296" s="11"/>
      <c r="Q1296" s="6"/>
    </row>
    <row r="1297" spans="1:17" s="7" customFormat="1" ht="66" customHeight="1" x14ac:dyDescent="0.25">
      <c r="A1297" s="8"/>
      <c r="B1297" s="9"/>
      <c r="C1297" s="22"/>
      <c r="D1297" s="24"/>
      <c r="E1297" s="48"/>
      <c r="F1297" s="48"/>
      <c r="G1297" s="49"/>
      <c r="H1297" s="49"/>
      <c r="I1297" s="49"/>
      <c r="J1297" s="49"/>
      <c r="L1297" s="10"/>
      <c r="P1297" s="11"/>
      <c r="Q1297" s="6"/>
    </row>
    <row r="1298" spans="1:17" s="7" customFormat="1" ht="66" customHeight="1" x14ac:dyDescent="0.25">
      <c r="A1298" s="8"/>
      <c r="B1298" s="9"/>
      <c r="C1298" s="22" t="s">
        <v>123</v>
      </c>
      <c r="D1298" s="24" t="s">
        <v>12</v>
      </c>
      <c r="E1298" s="48">
        <v>1</v>
      </c>
      <c r="F1298" s="48" t="s">
        <v>77</v>
      </c>
      <c r="G1298" s="49"/>
      <c r="H1298" s="49"/>
      <c r="I1298" s="49"/>
      <c r="J1298" s="49"/>
      <c r="L1298" s="10"/>
      <c r="P1298" s="11"/>
      <c r="Q1298" s="6"/>
    </row>
    <row r="1299" spans="1:17" s="7" customFormat="1" ht="66" customHeight="1" x14ac:dyDescent="0.25">
      <c r="A1299" s="8"/>
      <c r="B1299" s="9"/>
      <c r="C1299" s="22" t="s">
        <v>67</v>
      </c>
      <c r="D1299" s="24" t="s">
        <v>12</v>
      </c>
      <c r="E1299" s="48">
        <v>1</v>
      </c>
      <c r="F1299" s="48" t="s">
        <v>77</v>
      </c>
      <c r="G1299" s="49"/>
      <c r="H1299" s="49"/>
      <c r="I1299" s="49"/>
      <c r="J1299" s="49"/>
      <c r="L1299" s="10"/>
      <c r="P1299" s="11"/>
      <c r="Q1299" s="6"/>
    </row>
    <row r="1300" spans="1:17" s="7" customFormat="1" ht="66" customHeight="1" x14ac:dyDescent="0.25">
      <c r="A1300" s="8"/>
      <c r="B1300" s="9"/>
      <c r="C1300" s="10"/>
      <c r="G1300" s="49"/>
      <c r="H1300" s="49"/>
      <c r="I1300" s="49"/>
      <c r="J1300" s="49"/>
      <c r="L1300" s="10"/>
      <c r="P1300" s="11"/>
      <c r="Q1300" s="6"/>
    </row>
    <row r="1301" spans="1:17" s="7" customFormat="1" ht="66" customHeight="1" x14ac:dyDescent="0.25">
      <c r="A1301" s="8"/>
      <c r="B1301" s="9"/>
      <c r="C1301" s="52" t="s">
        <v>48</v>
      </c>
      <c r="D1301" s="27" t="s">
        <v>12</v>
      </c>
      <c r="E1301" s="26">
        <f>SUM(E1298:E1299)</f>
        <v>2</v>
      </c>
      <c r="F1301" s="26" t="s">
        <v>77</v>
      </c>
      <c r="G1301" s="49"/>
      <c r="H1301" s="49"/>
      <c r="I1301" s="49"/>
      <c r="J1301" s="49"/>
      <c r="L1301" s="10"/>
      <c r="P1301" s="11"/>
      <c r="Q1301" s="6"/>
    </row>
    <row r="1302" spans="1:17" s="7" customFormat="1" ht="66" customHeight="1" x14ac:dyDescent="0.25">
      <c r="A1302" s="8"/>
      <c r="B1302" s="9"/>
      <c r="C1302" s="10"/>
      <c r="G1302" s="49"/>
      <c r="H1302" s="49"/>
      <c r="I1302" s="49"/>
      <c r="J1302" s="49"/>
      <c r="L1302" s="10"/>
      <c r="P1302" s="11"/>
      <c r="Q1302" s="6"/>
    </row>
    <row r="1303" spans="1:17" s="7" customFormat="1" ht="66" customHeight="1" x14ac:dyDescent="0.25">
      <c r="A1303" s="8"/>
      <c r="B1303" s="18" t="s">
        <v>365</v>
      </c>
      <c r="C1303" s="19" t="str">
        <f>VLOOKUP($B1303,[1]ORÇ_ANALITICO!$A$10:$K$137,2,0)</f>
        <v>18.070.0044-0</v>
      </c>
      <c r="D1303" s="157" t="str">
        <f>VLOOKUP($C1303,[1]ORÇ_ANALITICO!$B$10:$L$137,4,0)</f>
        <v>BANCA DE MARMORE BRANCO NACIONAL,COM 3CM DE ESPESSURA,COM ABERTURA PARA 1 CUBA (EXCLUSIVE ESTA),SOBRE APOIOS DE ALVENARIA DE MEIA VEZ E VERGA DE CONCRETO,SEM REVESTIMENTO.FORNECIMENTO E COLOCACAO</v>
      </c>
      <c r="E1303" s="157" t="e">
        <f>VLOOKUP(D1303,[1]ORÇ_ANALITICO!C1157:M1256,2,0)</f>
        <v>#N/A</v>
      </c>
      <c r="F1303" s="157" t="e">
        <f>VLOOKUP(E1303,[1]ORÇ_ANALITICO!E1157:N1256,2,0)</f>
        <v>#N/A</v>
      </c>
      <c r="G1303" s="157" t="e">
        <f>VLOOKUP(F1303,[1]ORÇ_ANALITICO!F1157:O1256,2,0)</f>
        <v>#N/A</v>
      </c>
      <c r="H1303" s="157" t="e">
        <f>VLOOKUP(G1303,[1]ORÇ_ANALITICO!G1157:P1256,2,0)</f>
        <v>#N/A</v>
      </c>
      <c r="I1303" s="157" t="e">
        <f>VLOOKUP(H1303,[1]ORÇ_ANALITICO!H1157:Q1256,2,0)</f>
        <v>#N/A</v>
      </c>
      <c r="J1303" s="157" t="e">
        <f>VLOOKUP(I1303,[1]ORÇ_ANALITICO!I1157:R1256,2,0)</f>
        <v>#N/A</v>
      </c>
      <c r="K1303" s="157" t="e">
        <f>VLOOKUP(J1303,[1]ORÇ_ANALITICO!J1157:S1256,2,0)</f>
        <v>#N/A</v>
      </c>
      <c r="L1303" s="157" t="e">
        <f>VLOOKUP(K1303,[1]ORÇ_ANALITICO!K1157:T1256,2,0)</f>
        <v>#N/A</v>
      </c>
      <c r="M1303" s="157" t="e">
        <f>VLOOKUP(L1303,[1]ORÇ_ANALITICO!L1157:U1256,2,0)</f>
        <v>#N/A</v>
      </c>
      <c r="N1303" s="157" t="e">
        <f>VLOOKUP(M1303,[1]ORÇ_ANALITICO!M1157:V1256,2,0)</f>
        <v>#N/A</v>
      </c>
      <c r="O1303" s="20" t="str">
        <f>VLOOKUP($C1303,[1]ORÇ_ANALITICO!$B$10:$L$137,5,0)</f>
        <v>M2</v>
      </c>
      <c r="P1303" s="20">
        <f>I1314</f>
        <v>3</v>
      </c>
      <c r="Q1303" s="6"/>
    </row>
    <row r="1304" spans="1:17" s="7" customFormat="1" ht="66" customHeight="1" x14ac:dyDescent="0.25">
      <c r="A1304" s="8"/>
      <c r="B1304" s="9"/>
      <c r="C1304" s="10"/>
      <c r="L1304" s="10"/>
      <c r="P1304" s="11"/>
      <c r="Q1304" s="6"/>
    </row>
    <row r="1305" spans="1:17" s="7" customFormat="1" ht="66" customHeight="1" x14ac:dyDescent="0.25">
      <c r="A1305" s="8"/>
      <c r="B1305" s="9"/>
      <c r="C1305" s="22"/>
      <c r="D1305" s="24"/>
      <c r="E1305" s="48" t="s">
        <v>22</v>
      </c>
      <c r="F1305" s="48"/>
      <c r="G1305" s="49" t="s">
        <v>27</v>
      </c>
      <c r="H1305" s="49"/>
      <c r="I1305" s="49"/>
      <c r="J1305" s="49"/>
      <c r="L1305" s="10"/>
      <c r="P1305" s="11"/>
      <c r="Q1305" s="6"/>
    </row>
    <row r="1306" spans="1:17" s="7" customFormat="1" ht="66" customHeight="1" x14ac:dyDescent="0.25">
      <c r="A1306" s="8"/>
      <c r="B1306" s="9"/>
      <c r="C1306" s="22"/>
      <c r="D1306" s="24"/>
      <c r="E1306" s="48"/>
      <c r="F1306" s="48"/>
      <c r="G1306" s="49"/>
      <c r="H1306" s="49"/>
      <c r="I1306" s="49"/>
      <c r="J1306" s="49"/>
      <c r="L1306" s="10"/>
      <c r="P1306" s="11"/>
      <c r="Q1306" s="6"/>
    </row>
    <row r="1307" spans="1:17" s="7" customFormat="1" ht="66" customHeight="1" x14ac:dyDescent="0.25">
      <c r="A1307" s="8"/>
      <c r="B1307" s="9"/>
      <c r="C1307" s="22" t="s">
        <v>106</v>
      </c>
      <c r="D1307" s="24" t="s">
        <v>12</v>
      </c>
      <c r="E1307" s="48">
        <v>1</v>
      </c>
      <c r="F1307" s="48" t="s">
        <v>24</v>
      </c>
      <c r="G1307" s="49">
        <v>0.5</v>
      </c>
      <c r="H1307" s="49" t="s">
        <v>12</v>
      </c>
      <c r="I1307" s="49">
        <f t="shared" ref="I1307:I1312" si="23">E1307*G1307</f>
        <v>0.5</v>
      </c>
      <c r="J1307" s="49" t="s">
        <v>25</v>
      </c>
      <c r="L1307" s="10"/>
      <c r="P1307" s="11"/>
      <c r="Q1307" s="6"/>
    </row>
    <row r="1308" spans="1:17" s="7" customFormat="1" ht="66" customHeight="1" x14ac:dyDescent="0.25">
      <c r="A1308" s="8"/>
      <c r="B1308" s="9"/>
      <c r="C1308" s="22" t="s">
        <v>107</v>
      </c>
      <c r="D1308" s="24" t="s">
        <v>12</v>
      </c>
      <c r="E1308" s="48">
        <v>1</v>
      </c>
      <c r="F1308" s="48" t="s">
        <v>24</v>
      </c>
      <c r="G1308" s="49">
        <v>0.5</v>
      </c>
      <c r="H1308" s="49" t="s">
        <v>12</v>
      </c>
      <c r="I1308" s="49">
        <f t="shared" si="23"/>
        <v>0.5</v>
      </c>
      <c r="J1308" s="49" t="s">
        <v>25</v>
      </c>
      <c r="L1308" s="10"/>
      <c r="P1308" s="11"/>
      <c r="Q1308" s="6"/>
    </row>
    <row r="1309" spans="1:17" s="7" customFormat="1" ht="66" customHeight="1" x14ac:dyDescent="0.25">
      <c r="A1309" s="8"/>
      <c r="B1309" s="9"/>
      <c r="C1309" s="22" t="s">
        <v>109</v>
      </c>
      <c r="D1309" s="24" t="s">
        <v>12</v>
      </c>
      <c r="E1309" s="48">
        <v>1</v>
      </c>
      <c r="F1309" s="48" t="s">
        <v>24</v>
      </c>
      <c r="G1309" s="49">
        <v>0.5</v>
      </c>
      <c r="H1309" s="49" t="s">
        <v>12</v>
      </c>
      <c r="I1309" s="49">
        <f t="shared" si="23"/>
        <v>0.5</v>
      </c>
      <c r="J1309" s="49" t="s">
        <v>25</v>
      </c>
      <c r="L1309" s="10"/>
      <c r="P1309" s="11"/>
      <c r="Q1309" s="6"/>
    </row>
    <row r="1310" spans="1:17" s="7" customFormat="1" ht="66" customHeight="1" x14ac:dyDescent="0.25">
      <c r="A1310" s="8"/>
      <c r="B1310" s="9"/>
      <c r="C1310" s="22" t="s">
        <v>110</v>
      </c>
      <c r="D1310" s="24" t="s">
        <v>12</v>
      </c>
      <c r="E1310" s="48">
        <v>1</v>
      </c>
      <c r="F1310" s="48" t="s">
        <v>24</v>
      </c>
      <c r="G1310" s="49">
        <v>0.5</v>
      </c>
      <c r="H1310" s="49" t="s">
        <v>12</v>
      </c>
      <c r="I1310" s="49">
        <f t="shared" si="23"/>
        <v>0.5</v>
      </c>
      <c r="J1310" s="49" t="s">
        <v>25</v>
      </c>
      <c r="L1310" s="10"/>
      <c r="P1310" s="11"/>
      <c r="Q1310" s="6"/>
    </row>
    <row r="1311" spans="1:17" s="7" customFormat="1" ht="66" customHeight="1" x14ac:dyDescent="0.25">
      <c r="A1311" s="8"/>
      <c r="B1311" s="9"/>
      <c r="C1311" s="22" t="s">
        <v>123</v>
      </c>
      <c r="D1311" s="24" t="s">
        <v>12</v>
      </c>
      <c r="E1311" s="48">
        <v>1</v>
      </c>
      <c r="F1311" s="48" t="s">
        <v>24</v>
      </c>
      <c r="G1311" s="49">
        <v>0.5</v>
      </c>
      <c r="H1311" s="49" t="s">
        <v>12</v>
      </c>
      <c r="I1311" s="49">
        <f t="shared" si="23"/>
        <v>0.5</v>
      </c>
      <c r="J1311" s="49" t="s">
        <v>25</v>
      </c>
      <c r="L1311" s="10"/>
      <c r="P1311" s="11"/>
      <c r="Q1311" s="6"/>
    </row>
    <row r="1312" spans="1:17" s="7" customFormat="1" ht="66" customHeight="1" x14ac:dyDescent="0.25">
      <c r="A1312" s="8"/>
      <c r="B1312" s="9"/>
      <c r="C1312" s="22" t="s">
        <v>67</v>
      </c>
      <c r="D1312" s="24" t="s">
        <v>12</v>
      </c>
      <c r="E1312" s="48">
        <v>1</v>
      </c>
      <c r="F1312" s="48" t="s">
        <v>24</v>
      </c>
      <c r="G1312" s="49">
        <v>0.5</v>
      </c>
      <c r="H1312" s="49" t="s">
        <v>12</v>
      </c>
      <c r="I1312" s="49">
        <f t="shared" si="23"/>
        <v>0.5</v>
      </c>
      <c r="J1312" s="49" t="s">
        <v>25</v>
      </c>
      <c r="L1312" s="10"/>
      <c r="P1312" s="11"/>
      <c r="Q1312" s="6"/>
    </row>
    <row r="1313" spans="1:17" s="7" customFormat="1" ht="66" customHeight="1" x14ac:dyDescent="0.25">
      <c r="A1313" s="8"/>
      <c r="B1313" s="9"/>
      <c r="C1313" s="22"/>
      <c r="D1313" s="24"/>
      <c r="E1313" s="48"/>
      <c r="F1313" s="48"/>
      <c r="G1313" s="49"/>
      <c r="H1313" s="49"/>
      <c r="I1313" s="49"/>
      <c r="J1313" s="49"/>
      <c r="L1313" s="10"/>
      <c r="P1313" s="11"/>
      <c r="Q1313" s="6"/>
    </row>
    <row r="1314" spans="1:17" s="7" customFormat="1" ht="66" customHeight="1" x14ac:dyDescent="0.25">
      <c r="A1314" s="8"/>
      <c r="B1314" s="9"/>
      <c r="C1314" s="22"/>
      <c r="D1314" s="24"/>
      <c r="E1314" s="48"/>
      <c r="F1314" s="48"/>
      <c r="G1314" s="66" t="s">
        <v>48</v>
      </c>
      <c r="H1314" s="66" t="s">
        <v>12</v>
      </c>
      <c r="I1314" s="66">
        <f>SUM(I1307:I1312)</f>
        <v>3</v>
      </c>
      <c r="J1314" s="66" t="s">
        <v>25</v>
      </c>
      <c r="L1314" s="10"/>
      <c r="P1314" s="11"/>
      <c r="Q1314" s="6"/>
    </row>
    <row r="1315" spans="1:17" s="7" customFormat="1" ht="66" customHeight="1" x14ac:dyDescent="0.25">
      <c r="A1315" s="8"/>
      <c r="B1315" s="9"/>
      <c r="C1315" s="22"/>
      <c r="D1315" s="24"/>
      <c r="E1315" s="48"/>
      <c r="F1315" s="48"/>
      <c r="G1315" s="66"/>
      <c r="H1315" s="66"/>
      <c r="I1315" s="66"/>
      <c r="J1315" s="66"/>
      <c r="L1315" s="10"/>
      <c r="P1315" s="11"/>
      <c r="Q1315" s="6"/>
    </row>
    <row r="1316" spans="1:17" s="7" customFormat="1" ht="66" customHeight="1" x14ac:dyDescent="0.25">
      <c r="A1316" s="8"/>
      <c r="B1316" s="18" t="s">
        <v>366</v>
      </c>
      <c r="C1316" s="19" t="str">
        <f>VLOOKUP($B1316,[1]ORÇ_ANALITICO!$A$10:$K$137,2,0)</f>
        <v>18.002.0024-0</v>
      </c>
      <c r="D1316" s="157" t="str">
        <f>VLOOKUP($C1316,[1]ORÇ_ANALITICO!$B$10:$L$137,4,0)</f>
        <v>CUBA DE LOUCA BRANCA,DE SOBREPOR,PADRAO POPULAR,MEDINDO EM TORNO DE (39X29)CM.FERRAGENS: SIFAO DE 1"X1.1/4" EM PVC,TORNEIRA PARA LAVATORIO DE MESA 1193 OU SIMILAR DE 1/2",VALVULA DE ESCOAMENTO EM METAL CROMADO E RABICHO EM PVC.FORNECIMENTO</v>
      </c>
      <c r="E1316" s="157" t="e">
        <f>VLOOKUP(D1316,[1]ORÇ_ANALITICO!C1170:M1269,2,0)</f>
        <v>#N/A</v>
      </c>
      <c r="F1316" s="157" t="e">
        <f>VLOOKUP(E1316,[1]ORÇ_ANALITICO!E1170:N1269,2,0)</f>
        <v>#N/A</v>
      </c>
      <c r="G1316" s="157" t="e">
        <f>VLOOKUP(F1316,[1]ORÇ_ANALITICO!F1170:O1269,2,0)</f>
        <v>#N/A</v>
      </c>
      <c r="H1316" s="157" t="e">
        <f>VLOOKUP(G1316,[1]ORÇ_ANALITICO!G1170:P1269,2,0)</f>
        <v>#N/A</v>
      </c>
      <c r="I1316" s="157" t="e">
        <f>VLOOKUP(H1316,[1]ORÇ_ANALITICO!H1170:Q1269,2,0)</f>
        <v>#N/A</v>
      </c>
      <c r="J1316" s="157" t="e">
        <f>VLOOKUP(I1316,[1]ORÇ_ANALITICO!I1170:R1269,2,0)</f>
        <v>#N/A</v>
      </c>
      <c r="K1316" s="157" t="e">
        <f>VLOOKUP(J1316,[1]ORÇ_ANALITICO!J1170:S1269,2,0)</f>
        <v>#N/A</v>
      </c>
      <c r="L1316" s="157" t="e">
        <f>VLOOKUP(K1316,[1]ORÇ_ANALITICO!K1170:T1269,2,0)</f>
        <v>#N/A</v>
      </c>
      <c r="M1316" s="157" t="e">
        <f>VLOOKUP(L1316,[1]ORÇ_ANALITICO!L1170:U1269,2,0)</f>
        <v>#N/A</v>
      </c>
      <c r="N1316" s="157" t="e">
        <f>VLOOKUP(M1316,[1]ORÇ_ANALITICO!M1170:V1269,2,0)</f>
        <v>#N/A</v>
      </c>
      <c r="O1316" s="20" t="str">
        <f>VLOOKUP($C1316,[1]ORÇ_ANALITICO!$B$10:$L$137,5,0)</f>
        <v>UN</v>
      </c>
      <c r="P1316" s="20">
        <f>E1327</f>
        <v>6</v>
      </c>
      <c r="Q1316" s="6"/>
    </row>
    <row r="1317" spans="1:17" s="7" customFormat="1" ht="66" customHeight="1" x14ac:dyDescent="0.25">
      <c r="A1317" s="8"/>
      <c r="B1317" s="9"/>
      <c r="C1317" s="22"/>
      <c r="D1317" s="24"/>
      <c r="E1317" s="48"/>
      <c r="F1317" s="48"/>
      <c r="G1317" s="66"/>
      <c r="H1317" s="66"/>
      <c r="I1317" s="66"/>
      <c r="J1317" s="66"/>
      <c r="L1317" s="10"/>
      <c r="P1317" s="11"/>
      <c r="Q1317" s="6"/>
    </row>
    <row r="1318" spans="1:17" s="7" customFormat="1" ht="66" customHeight="1" x14ac:dyDescent="0.25">
      <c r="A1318" s="8"/>
      <c r="B1318" s="9"/>
      <c r="C1318" s="22"/>
      <c r="D1318" s="24"/>
      <c r="E1318" s="48" t="s">
        <v>22</v>
      </c>
      <c r="F1318" s="48"/>
      <c r="G1318" s="49"/>
      <c r="H1318" s="49"/>
      <c r="I1318" s="49"/>
      <c r="J1318" s="49"/>
      <c r="L1318" s="10"/>
      <c r="P1318" s="11"/>
      <c r="Q1318" s="6"/>
    </row>
    <row r="1319" spans="1:17" s="7" customFormat="1" ht="66" customHeight="1" x14ac:dyDescent="0.25">
      <c r="A1319" s="8"/>
      <c r="B1319" s="9"/>
      <c r="C1319" s="22"/>
      <c r="D1319" s="24"/>
      <c r="E1319" s="48"/>
      <c r="F1319" s="48"/>
      <c r="G1319" s="49"/>
      <c r="H1319" s="49"/>
      <c r="I1319" s="49"/>
      <c r="J1319" s="49"/>
      <c r="L1319" s="10"/>
      <c r="P1319" s="11"/>
      <c r="Q1319" s="6"/>
    </row>
    <row r="1320" spans="1:17" s="7" customFormat="1" ht="66" customHeight="1" x14ac:dyDescent="0.25">
      <c r="A1320" s="8"/>
      <c r="B1320" s="9"/>
      <c r="C1320" s="22" t="s">
        <v>106</v>
      </c>
      <c r="D1320" s="24" t="s">
        <v>12</v>
      </c>
      <c r="E1320" s="48">
        <v>1</v>
      </c>
      <c r="F1320" s="48" t="s">
        <v>77</v>
      </c>
      <c r="G1320" s="49"/>
      <c r="H1320" s="49"/>
      <c r="I1320" s="49"/>
      <c r="J1320" s="49"/>
      <c r="L1320" s="10"/>
      <c r="P1320" s="11"/>
      <c r="Q1320" s="6"/>
    </row>
    <row r="1321" spans="1:17" s="7" customFormat="1" ht="66" customHeight="1" x14ac:dyDescent="0.25">
      <c r="A1321" s="8"/>
      <c r="B1321" s="9"/>
      <c r="C1321" s="22" t="s">
        <v>107</v>
      </c>
      <c r="D1321" s="24" t="s">
        <v>12</v>
      </c>
      <c r="E1321" s="48">
        <v>1</v>
      </c>
      <c r="F1321" s="48" t="s">
        <v>77</v>
      </c>
      <c r="G1321" s="49"/>
      <c r="H1321" s="49"/>
      <c r="I1321" s="49"/>
      <c r="J1321" s="49"/>
      <c r="L1321" s="10"/>
      <c r="P1321" s="11"/>
      <c r="Q1321" s="6"/>
    </row>
    <row r="1322" spans="1:17" s="7" customFormat="1" ht="66" customHeight="1" x14ac:dyDescent="0.25">
      <c r="A1322" s="8"/>
      <c r="B1322" s="9"/>
      <c r="C1322" s="22" t="s">
        <v>109</v>
      </c>
      <c r="D1322" s="24" t="s">
        <v>12</v>
      </c>
      <c r="E1322" s="48">
        <v>1</v>
      </c>
      <c r="F1322" s="48" t="s">
        <v>77</v>
      </c>
      <c r="G1322" s="49"/>
      <c r="H1322" s="49"/>
      <c r="I1322" s="49"/>
      <c r="J1322" s="49"/>
      <c r="L1322" s="10"/>
      <c r="P1322" s="11"/>
      <c r="Q1322" s="6"/>
    </row>
    <row r="1323" spans="1:17" s="7" customFormat="1" ht="66" customHeight="1" x14ac:dyDescent="0.25">
      <c r="A1323" s="8"/>
      <c r="B1323" s="9"/>
      <c r="C1323" s="22" t="s">
        <v>110</v>
      </c>
      <c r="D1323" s="24" t="s">
        <v>12</v>
      </c>
      <c r="E1323" s="48">
        <v>1</v>
      </c>
      <c r="F1323" s="48" t="s">
        <v>77</v>
      </c>
      <c r="G1323" s="49"/>
      <c r="H1323" s="49"/>
      <c r="I1323" s="49"/>
      <c r="J1323" s="49"/>
      <c r="L1323" s="10"/>
      <c r="P1323" s="11"/>
      <c r="Q1323" s="6"/>
    </row>
    <row r="1324" spans="1:17" s="7" customFormat="1" ht="66" customHeight="1" x14ac:dyDescent="0.25">
      <c r="A1324" s="8"/>
      <c r="B1324" s="9"/>
      <c r="C1324" s="22" t="s">
        <v>123</v>
      </c>
      <c r="D1324" s="24" t="s">
        <v>12</v>
      </c>
      <c r="E1324" s="48">
        <v>1</v>
      </c>
      <c r="F1324" s="48" t="s">
        <v>77</v>
      </c>
      <c r="G1324" s="49"/>
      <c r="H1324" s="49"/>
      <c r="I1324" s="49"/>
      <c r="J1324" s="49"/>
      <c r="L1324" s="10"/>
      <c r="P1324" s="11"/>
      <c r="Q1324" s="6"/>
    </row>
    <row r="1325" spans="1:17" s="7" customFormat="1" ht="66" customHeight="1" x14ac:dyDescent="0.25">
      <c r="A1325" s="8"/>
      <c r="B1325" s="9"/>
      <c r="C1325" s="22" t="s">
        <v>67</v>
      </c>
      <c r="D1325" s="24" t="s">
        <v>12</v>
      </c>
      <c r="E1325" s="48">
        <v>1</v>
      </c>
      <c r="F1325" s="48" t="s">
        <v>77</v>
      </c>
      <c r="G1325" s="49"/>
      <c r="H1325" s="49"/>
      <c r="I1325" s="49"/>
      <c r="J1325" s="49"/>
      <c r="L1325" s="10"/>
      <c r="P1325" s="11"/>
      <c r="Q1325" s="6"/>
    </row>
    <row r="1326" spans="1:17" s="7" customFormat="1" ht="66" customHeight="1" x14ac:dyDescent="0.25">
      <c r="A1326" s="8"/>
      <c r="B1326" s="9"/>
      <c r="C1326" s="22"/>
      <c r="D1326" s="24"/>
      <c r="E1326" s="48"/>
      <c r="F1326" s="48"/>
      <c r="G1326" s="66"/>
      <c r="H1326" s="66"/>
      <c r="I1326" s="66"/>
      <c r="J1326" s="66"/>
      <c r="L1326" s="10"/>
      <c r="P1326" s="11"/>
      <c r="Q1326" s="6"/>
    </row>
    <row r="1327" spans="1:17" s="7" customFormat="1" ht="66" customHeight="1" x14ac:dyDescent="0.25">
      <c r="A1327" s="8"/>
      <c r="B1327" s="9"/>
      <c r="C1327" s="52" t="s">
        <v>48</v>
      </c>
      <c r="D1327" s="27" t="s">
        <v>12</v>
      </c>
      <c r="E1327" s="26">
        <f>SUM(E1320:E1325)</f>
        <v>6</v>
      </c>
      <c r="F1327" s="26" t="s">
        <v>77</v>
      </c>
      <c r="G1327" s="66"/>
      <c r="H1327" s="66"/>
      <c r="I1327" s="66"/>
      <c r="J1327" s="66"/>
      <c r="L1327" s="10"/>
      <c r="P1327" s="11"/>
      <c r="Q1327" s="6"/>
    </row>
    <row r="1328" spans="1:17" s="7" customFormat="1" ht="66" customHeight="1" x14ac:dyDescent="0.25">
      <c r="A1328" s="8"/>
      <c r="B1328" s="9"/>
      <c r="C1328" s="22"/>
      <c r="D1328" s="24"/>
      <c r="E1328" s="48"/>
      <c r="F1328" s="48"/>
      <c r="G1328" s="66"/>
      <c r="H1328" s="66"/>
      <c r="I1328" s="66"/>
      <c r="J1328" s="66"/>
      <c r="L1328" s="10"/>
      <c r="P1328" s="11"/>
      <c r="Q1328" s="6"/>
    </row>
    <row r="1329" spans="1:17" s="7" customFormat="1" ht="66" customHeight="1" x14ac:dyDescent="0.25">
      <c r="A1329" s="8"/>
      <c r="B1329" s="18" t="s">
        <v>367</v>
      </c>
      <c r="C1329" s="19" t="str">
        <f>VLOOKUP($B1329,[1]ORÇ_ANALITICO!$A$10:$K$137,2,0)</f>
        <v>18.080.0025-0</v>
      </c>
      <c r="D1329" s="157" t="str">
        <f>VLOOKUP($C1329,[1]ORÇ_ANALITICO!$B$10:$L$137,4,0)</f>
        <v>BANCA DE GRANITO PRETO,COM 2CM DE ESPESSURA,COM ABERTURA PARA 1 CUBA (EXCLUSIVE ESTA),SOBRE APOIOS DE ALVENARIA DE MEIAVEZ E VERGA DE CONCRETO,SEM REVESTIMENTO.FORNECIMENTO E COLOCACAO</v>
      </c>
      <c r="E1329" s="157" t="e">
        <f>VLOOKUP(D1329,[1]ORÇ_ANALITICO!C1183:M1282,2,0)</f>
        <v>#N/A</v>
      </c>
      <c r="F1329" s="157" t="e">
        <f>VLOOKUP(E1329,[1]ORÇ_ANALITICO!E1183:N1282,2,0)</f>
        <v>#N/A</v>
      </c>
      <c r="G1329" s="157" t="e">
        <f>VLOOKUP(F1329,[1]ORÇ_ANALITICO!F1183:O1282,2,0)</f>
        <v>#N/A</v>
      </c>
      <c r="H1329" s="157" t="e">
        <f>VLOOKUP(G1329,[1]ORÇ_ANALITICO!G1183:P1282,2,0)</f>
        <v>#N/A</v>
      </c>
      <c r="I1329" s="157" t="e">
        <f>VLOOKUP(H1329,[1]ORÇ_ANALITICO!H1183:Q1282,2,0)</f>
        <v>#N/A</v>
      </c>
      <c r="J1329" s="157" t="e">
        <f>VLOOKUP(I1329,[1]ORÇ_ANALITICO!I1183:R1282,2,0)</f>
        <v>#N/A</v>
      </c>
      <c r="K1329" s="157" t="e">
        <f>VLOOKUP(J1329,[1]ORÇ_ANALITICO!J1183:S1282,2,0)</f>
        <v>#N/A</v>
      </c>
      <c r="L1329" s="157" t="e">
        <f>VLOOKUP(K1329,[1]ORÇ_ANALITICO!K1183:T1282,2,0)</f>
        <v>#N/A</v>
      </c>
      <c r="M1329" s="157" t="e">
        <f>VLOOKUP(L1329,[1]ORÇ_ANALITICO!L1183:U1282,2,0)</f>
        <v>#N/A</v>
      </c>
      <c r="N1329" s="157" t="e">
        <f>VLOOKUP(M1329,[1]ORÇ_ANALITICO!M1183:V1282,2,0)</f>
        <v>#N/A</v>
      </c>
      <c r="O1329" s="20" t="str">
        <f>VLOOKUP($C1329,[1]ORÇ_ANALITICO!$B$10:$L$137,5,0)</f>
        <v>M2</v>
      </c>
      <c r="P1329" s="20">
        <f>I1336</f>
        <v>3.09</v>
      </c>
      <c r="Q1329" s="16"/>
    </row>
    <row r="1330" spans="1:17" s="7" customFormat="1" ht="66" customHeight="1" x14ac:dyDescent="0.25">
      <c r="A1330" s="8"/>
      <c r="B1330" s="9"/>
      <c r="C1330" s="52"/>
      <c r="D1330" s="27"/>
      <c r="E1330" s="26"/>
      <c r="F1330" s="26"/>
      <c r="G1330" s="66"/>
      <c r="H1330" s="66"/>
      <c r="I1330" s="66"/>
      <c r="J1330" s="66"/>
      <c r="L1330" s="10"/>
      <c r="P1330" s="11"/>
      <c r="Q1330" s="6"/>
    </row>
    <row r="1331" spans="1:17" s="7" customFormat="1" ht="66" customHeight="1" x14ac:dyDescent="0.25">
      <c r="A1331" s="8"/>
      <c r="B1331" s="9"/>
      <c r="C1331" s="22"/>
      <c r="D1331" s="24"/>
      <c r="E1331" s="48" t="s">
        <v>22</v>
      </c>
      <c r="F1331" s="48"/>
      <c r="G1331" s="56" t="s">
        <v>27</v>
      </c>
      <c r="H1331" s="56"/>
      <c r="I1331" s="56"/>
      <c r="J1331" s="56"/>
      <c r="L1331" s="10"/>
      <c r="P1331" s="11"/>
      <c r="Q1331" s="6"/>
    </row>
    <row r="1332" spans="1:17" s="7" customFormat="1" ht="66" customHeight="1" x14ac:dyDescent="0.25">
      <c r="A1332" s="8"/>
      <c r="B1332" s="9"/>
      <c r="C1332" s="22"/>
      <c r="D1332" s="24"/>
      <c r="E1332" s="48"/>
      <c r="F1332" s="48"/>
      <c r="G1332" s="56"/>
      <c r="H1332" s="56"/>
      <c r="I1332" s="56"/>
      <c r="J1332" s="56"/>
      <c r="L1332" s="10"/>
      <c r="P1332" s="11"/>
      <c r="Q1332" s="6"/>
    </row>
    <row r="1333" spans="1:17" s="7" customFormat="1" ht="66" customHeight="1" x14ac:dyDescent="0.25">
      <c r="A1333" s="8"/>
      <c r="B1333" s="9"/>
      <c r="C1333" s="22" t="s">
        <v>104</v>
      </c>
      <c r="D1333" s="24" t="s">
        <v>12</v>
      </c>
      <c r="E1333" s="48">
        <v>3</v>
      </c>
      <c r="F1333" s="48" t="s">
        <v>24</v>
      </c>
      <c r="G1333" s="56">
        <v>0.6</v>
      </c>
      <c r="H1333" s="56" t="s">
        <v>12</v>
      </c>
      <c r="I1333" s="56">
        <f>E1333*G1333</f>
        <v>1.7999999999999998</v>
      </c>
      <c r="J1333" s="56" t="s">
        <v>25</v>
      </c>
      <c r="L1333" s="10"/>
      <c r="P1333" s="11"/>
      <c r="Q1333" s="6"/>
    </row>
    <row r="1334" spans="1:17" s="7" customFormat="1" ht="66" customHeight="1" x14ac:dyDescent="0.25">
      <c r="A1334" s="8"/>
      <c r="B1334" s="9"/>
      <c r="C1334" s="22" t="s">
        <v>71</v>
      </c>
      <c r="D1334" s="24" t="s">
        <v>12</v>
      </c>
      <c r="E1334" s="48">
        <v>2.15</v>
      </c>
      <c r="F1334" s="48" t="s">
        <v>24</v>
      </c>
      <c r="G1334" s="56">
        <v>0.6</v>
      </c>
      <c r="H1334" s="56" t="s">
        <v>12</v>
      </c>
      <c r="I1334" s="56">
        <f>E1334*G1334</f>
        <v>1.2899999999999998</v>
      </c>
      <c r="J1334" s="56" t="s">
        <v>25</v>
      </c>
      <c r="L1334" s="10"/>
      <c r="P1334" s="11"/>
      <c r="Q1334" s="6"/>
    </row>
    <row r="1335" spans="1:17" s="7" customFormat="1" ht="66" customHeight="1" x14ac:dyDescent="0.25">
      <c r="A1335" s="8"/>
      <c r="B1335" s="9"/>
      <c r="C1335" s="22"/>
      <c r="D1335" s="24"/>
      <c r="E1335" s="48"/>
      <c r="F1335" s="48"/>
      <c r="G1335" s="66"/>
      <c r="H1335" s="66"/>
      <c r="I1335" s="66"/>
      <c r="J1335" s="66"/>
      <c r="L1335" s="10"/>
      <c r="P1335" s="11"/>
      <c r="Q1335" s="6"/>
    </row>
    <row r="1336" spans="1:17" s="7" customFormat="1" ht="66" customHeight="1" x14ac:dyDescent="0.25">
      <c r="A1336" s="8"/>
      <c r="B1336" s="9"/>
      <c r="C1336" s="52"/>
      <c r="D1336" s="27"/>
      <c r="E1336" s="26"/>
      <c r="F1336" s="26"/>
      <c r="G1336" s="66" t="s">
        <v>48</v>
      </c>
      <c r="H1336" s="66" t="s">
        <v>12</v>
      </c>
      <c r="I1336" s="66">
        <f>SUM(I1333:I1334)</f>
        <v>3.09</v>
      </c>
      <c r="J1336" s="66" t="s">
        <v>25</v>
      </c>
      <c r="L1336" s="10"/>
      <c r="P1336" s="11"/>
      <c r="Q1336" s="6"/>
    </row>
    <row r="1337" spans="1:17" s="7" customFormat="1" ht="66" customHeight="1" x14ac:dyDescent="0.25">
      <c r="A1337" s="8"/>
      <c r="B1337" s="9"/>
      <c r="C1337" s="52"/>
      <c r="D1337" s="27"/>
      <c r="E1337" s="26"/>
      <c r="F1337" s="26"/>
      <c r="G1337" s="66"/>
      <c r="H1337" s="66"/>
      <c r="I1337" s="66"/>
      <c r="J1337" s="66"/>
      <c r="L1337" s="10"/>
      <c r="P1337" s="11"/>
      <c r="Q1337" s="6"/>
    </row>
    <row r="1338" spans="1:17" s="7" customFormat="1" ht="66" customHeight="1" x14ac:dyDescent="0.25">
      <c r="A1338" s="8"/>
      <c r="B1338" s="18" t="s">
        <v>368</v>
      </c>
      <c r="C1338" s="19" t="str">
        <f>VLOOKUP($B1338,[1]ORÇ_ANALITICO!$A$10:$K$137,2,0)</f>
        <v>18.080.0020-0</v>
      </c>
      <c r="D1338" s="157" t="str">
        <f>VLOOKUP($C1338,[1]ORÇ_ANALITICO!$B$10:$L$137,4,0)</f>
        <v>BANCA SECA DE GRANITO PRETO,COM 2CM DE ESPESSURA E 60CM DE LARGURA,SOBRE APOIOS DE ALVENARIA DE MEIA VEZ E VERGA DE CONCRETO,SEM REVESTIMENTO.FORNECIMENTO E ASSENTAMENTO</v>
      </c>
      <c r="E1338" s="157" t="e">
        <f>VLOOKUP(D1338,[1]ORÇ_ANALITICO!C1192:M1291,2,0)</f>
        <v>#N/A</v>
      </c>
      <c r="F1338" s="157" t="e">
        <f>VLOOKUP(E1338,[1]ORÇ_ANALITICO!E1192:N1291,2,0)</f>
        <v>#N/A</v>
      </c>
      <c r="G1338" s="157" t="e">
        <f>VLOOKUP(F1338,[1]ORÇ_ANALITICO!F1192:O1291,2,0)</f>
        <v>#N/A</v>
      </c>
      <c r="H1338" s="157" t="e">
        <f>VLOOKUP(G1338,[1]ORÇ_ANALITICO!G1192:P1291,2,0)</f>
        <v>#N/A</v>
      </c>
      <c r="I1338" s="157" t="e">
        <f>VLOOKUP(H1338,[1]ORÇ_ANALITICO!H1192:Q1291,2,0)</f>
        <v>#N/A</v>
      </c>
      <c r="J1338" s="157" t="e">
        <f>VLOOKUP(I1338,[1]ORÇ_ANALITICO!I1192:R1291,2,0)</f>
        <v>#N/A</v>
      </c>
      <c r="K1338" s="157" t="e">
        <f>VLOOKUP(J1338,[1]ORÇ_ANALITICO!J1192:S1291,2,0)</f>
        <v>#N/A</v>
      </c>
      <c r="L1338" s="157" t="e">
        <f>VLOOKUP(K1338,[1]ORÇ_ANALITICO!K1192:T1291,2,0)</f>
        <v>#N/A</v>
      </c>
      <c r="M1338" s="157" t="e">
        <f>VLOOKUP(L1338,[1]ORÇ_ANALITICO!L1192:U1291,2,0)</f>
        <v>#N/A</v>
      </c>
      <c r="N1338" s="157" t="e">
        <f>VLOOKUP(M1338,[1]ORÇ_ANALITICO!M1192:V1291,2,0)</f>
        <v>#N/A</v>
      </c>
      <c r="O1338" s="20" t="str">
        <f>VLOOKUP($C1338,[1]ORÇ_ANALITICO!$B$10:$L$137,5,0)</f>
        <v>M</v>
      </c>
      <c r="P1338" s="20">
        <f>E1342</f>
        <v>2.5499999999999998</v>
      </c>
      <c r="Q1338" s="6"/>
    </row>
    <row r="1339" spans="1:17" s="7" customFormat="1" ht="66" customHeight="1" x14ac:dyDescent="0.25">
      <c r="A1339" s="8"/>
      <c r="B1339" s="9"/>
      <c r="C1339" s="52"/>
      <c r="D1339" s="27"/>
      <c r="E1339" s="26"/>
      <c r="F1339" s="26"/>
      <c r="G1339" s="66"/>
      <c r="H1339" s="66"/>
      <c r="I1339" s="66"/>
      <c r="J1339" s="66"/>
      <c r="L1339" s="10"/>
      <c r="P1339" s="11"/>
      <c r="Q1339" s="6"/>
    </row>
    <row r="1340" spans="1:17" s="7" customFormat="1" ht="66" customHeight="1" x14ac:dyDescent="0.25">
      <c r="A1340" s="8"/>
      <c r="B1340" s="9"/>
      <c r="C1340" s="22"/>
      <c r="D1340" s="24"/>
      <c r="E1340" s="48" t="s">
        <v>22</v>
      </c>
      <c r="F1340" s="48"/>
      <c r="G1340" s="56"/>
      <c r="H1340" s="56"/>
      <c r="I1340" s="56"/>
      <c r="J1340" s="56"/>
      <c r="L1340" s="10"/>
      <c r="P1340" s="11"/>
      <c r="Q1340" s="6"/>
    </row>
    <row r="1341" spans="1:17" s="7" customFormat="1" ht="66" customHeight="1" x14ac:dyDescent="0.25">
      <c r="A1341" s="8"/>
      <c r="B1341" s="9"/>
      <c r="C1341" s="22"/>
      <c r="D1341" s="24"/>
      <c r="E1341" s="48"/>
      <c r="F1341" s="48"/>
      <c r="G1341" s="56"/>
      <c r="H1341" s="56"/>
      <c r="I1341" s="56"/>
      <c r="J1341" s="56"/>
      <c r="L1341" s="10"/>
      <c r="P1341" s="11"/>
      <c r="Q1341" s="6"/>
    </row>
    <row r="1342" spans="1:17" s="7" customFormat="1" ht="66" customHeight="1" x14ac:dyDescent="0.25">
      <c r="A1342" s="8"/>
      <c r="B1342" s="9"/>
      <c r="C1342" s="22" t="s">
        <v>104</v>
      </c>
      <c r="D1342" s="24" t="s">
        <v>12</v>
      </c>
      <c r="E1342" s="26">
        <v>2.5499999999999998</v>
      </c>
      <c r="F1342" s="26" t="s">
        <v>158</v>
      </c>
      <c r="G1342" s="56"/>
      <c r="H1342" s="56"/>
      <c r="I1342" s="56"/>
      <c r="J1342" s="56"/>
      <c r="L1342" s="10"/>
      <c r="P1342" s="11"/>
      <c r="Q1342" s="6"/>
    </row>
    <row r="1343" spans="1:17" s="7" customFormat="1" ht="66" customHeight="1" x14ac:dyDescent="0.25">
      <c r="A1343" s="8"/>
      <c r="B1343" s="9"/>
      <c r="C1343" s="52"/>
      <c r="D1343" s="27"/>
      <c r="E1343" s="26"/>
      <c r="F1343" s="26"/>
      <c r="G1343" s="66"/>
      <c r="H1343" s="66"/>
      <c r="I1343" s="66"/>
      <c r="J1343" s="66"/>
      <c r="L1343" s="10"/>
      <c r="P1343" s="11"/>
      <c r="Q1343" s="6"/>
    </row>
    <row r="1344" spans="1:17" s="7" customFormat="1" ht="66" customHeight="1" x14ac:dyDescent="0.25">
      <c r="A1344" s="8"/>
      <c r="B1344" s="18" t="s">
        <v>369</v>
      </c>
      <c r="C1344" s="19" t="str">
        <f>VLOOKUP($B1344,[1]ORÇ_ANALITICO!$A$10:$K$137,2,0)</f>
        <v>18.016.0040-0</v>
      </c>
      <c r="D1344" s="157" t="str">
        <f>VLOOKUP($C1344,[1]ORÇ_ANALITICO!$B$10:$L$137,4,0)</f>
        <v>CUBA DE ACO INOXIDAVEL,MEDINDO APROXIMADAMENTE (500X400X200)MM,EM CHAPA 20.304,VALVULA DE ESCOAMENTO TIPO AMERICANA 1623,SIFAO 1680 1.1/2" X 1.1/2",EXCLUSIVE TORNEIRA.FORNECIMENTOE COLOCACAO</v>
      </c>
      <c r="E1344" s="157" t="e">
        <f>VLOOKUP(D1344,[1]ORÇ_ANALITICO!C1198:M1297,2,0)</f>
        <v>#N/A</v>
      </c>
      <c r="F1344" s="157" t="e">
        <f>VLOOKUP(E1344,[1]ORÇ_ANALITICO!E1198:N1297,2,0)</f>
        <v>#N/A</v>
      </c>
      <c r="G1344" s="157" t="e">
        <f>VLOOKUP(F1344,[1]ORÇ_ANALITICO!F1198:O1297,2,0)</f>
        <v>#N/A</v>
      </c>
      <c r="H1344" s="157" t="e">
        <f>VLOOKUP(G1344,[1]ORÇ_ANALITICO!G1198:P1297,2,0)</f>
        <v>#N/A</v>
      </c>
      <c r="I1344" s="157" t="e">
        <f>VLOOKUP(H1344,[1]ORÇ_ANALITICO!H1198:Q1297,2,0)</f>
        <v>#N/A</v>
      </c>
      <c r="J1344" s="157" t="e">
        <f>VLOOKUP(I1344,[1]ORÇ_ANALITICO!I1198:R1297,2,0)</f>
        <v>#N/A</v>
      </c>
      <c r="K1344" s="157" t="e">
        <f>VLOOKUP(J1344,[1]ORÇ_ANALITICO!J1198:S1297,2,0)</f>
        <v>#N/A</v>
      </c>
      <c r="L1344" s="157" t="e">
        <f>VLOOKUP(K1344,[1]ORÇ_ANALITICO!K1198:T1297,2,0)</f>
        <v>#N/A</v>
      </c>
      <c r="M1344" s="157" t="e">
        <f>VLOOKUP(L1344,[1]ORÇ_ANALITICO!L1198:U1297,2,0)</f>
        <v>#N/A</v>
      </c>
      <c r="N1344" s="157" t="e">
        <f>VLOOKUP(M1344,[1]ORÇ_ANALITICO!M1198:V1297,2,0)</f>
        <v>#N/A</v>
      </c>
      <c r="O1344" s="20" t="str">
        <f>VLOOKUP($C1344,[1]ORÇ_ANALITICO!$B$10:$L$137,5,0)</f>
        <v>UN</v>
      </c>
      <c r="P1344" s="20">
        <f>E1351</f>
        <v>2</v>
      </c>
      <c r="Q1344" s="6"/>
    </row>
    <row r="1345" spans="1:17" s="7" customFormat="1" ht="66" customHeight="1" x14ac:dyDescent="0.25">
      <c r="A1345" s="8"/>
      <c r="B1345" s="9"/>
      <c r="C1345" s="52"/>
      <c r="D1345" s="27"/>
      <c r="E1345" s="26"/>
      <c r="F1345" s="26"/>
      <c r="G1345" s="66"/>
      <c r="H1345" s="66"/>
      <c r="I1345" s="66"/>
      <c r="J1345" s="66"/>
      <c r="L1345" s="10"/>
      <c r="P1345" s="11"/>
      <c r="Q1345" s="6"/>
    </row>
    <row r="1346" spans="1:17" s="7" customFormat="1" ht="66" customHeight="1" x14ac:dyDescent="0.25">
      <c r="A1346" s="8"/>
      <c r="B1346" s="9"/>
      <c r="C1346" s="22"/>
      <c r="D1346" s="24"/>
      <c r="E1346" s="48" t="s">
        <v>75</v>
      </c>
      <c r="F1346" s="48"/>
      <c r="G1346" s="56"/>
      <c r="H1346" s="56"/>
      <c r="I1346" s="56"/>
      <c r="J1346" s="56"/>
      <c r="L1346" s="10"/>
      <c r="P1346" s="11"/>
      <c r="Q1346" s="6"/>
    </row>
    <row r="1347" spans="1:17" s="7" customFormat="1" ht="66" customHeight="1" x14ac:dyDescent="0.25">
      <c r="A1347" s="8"/>
      <c r="B1347" s="9"/>
      <c r="C1347" s="22"/>
      <c r="D1347" s="24"/>
      <c r="E1347" s="48"/>
      <c r="F1347" s="48"/>
      <c r="G1347" s="56"/>
      <c r="H1347" s="56"/>
      <c r="I1347" s="56"/>
      <c r="J1347" s="56"/>
      <c r="L1347" s="10"/>
      <c r="P1347" s="11"/>
      <c r="Q1347" s="6"/>
    </row>
    <row r="1348" spans="1:17" s="7" customFormat="1" ht="66" customHeight="1" x14ac:dyDescent="0.25">
      <c r="A1348" s="8"/>
      <c r="B1348" s="9"/>
      <c r="C1348" s="22" t="s">
        <v>104</v>
      </c>
      <c r="D1348" s="24" t="s">
        <v>12</v>
      </c>
      <c r="E1348" s="48">
        <v>1</v>
      </c>
      <c r="F1348" s="48" t="s">
        <v>77</v>
      </c>
      <c r="G1348" s="56"/>
      <c r="H1348" s="56"/>
      <c r="I1348" s="56"/>
      <c r="J1348" s="56"/>
      <c r="L1348" s="10"/>
      <c r="P1348" s="11"/>
      <c r="Q1348" s="6"/>
    </row>
    <row r="1349" spans="1:17" s="7" customFormat="1" ht="66" customHeight="1" x14ac:dyDescent="0.25">
      <c r="A1349" s="8"/>
      <c r="B1349" s="9"/>
      <c r="C1349" s="22" t="s">
        <v>71</v>
      </c>
      <c r="D1349" s="24" t="s">
        <v>12</v>
      </c>
      <c r="E1349" s="48">
        <v>1</v>
      </c>
      <c r="F1349" s="48" t="s">
        <v>77</v>
      </c>
      <c r="G1349" s="56"/>
      <c r="H1349" s="56"/>
      <c r="I1349" s="56"/>
      <c r="J1349" s="56"/>
      <c r="L1349" s="10"/>
      <c r="P1349" s="11"/>
      <c r="Q1349" s="6"/>
    </row>
    <row r="1350" spans="1:17" s="7" customFormat="1" ht="66" customHeight="1" x14ac:dyDescent="0.25">
      <c r="A1350" s="8"/>
      <c r="B1350" s="9"/>
      <c r="C1350" s="22"/>
      <c r="D1350" s="24"/>
      <c r="E1350" s="48"/>
      <c r="F1350" s="48"/>
      <c r="G1350" s="56"/>
      <c r="H1350" s="56"/>
      <c r="I1350" s="56"/>
      <c r="J1350" s="56"/>
      <c r="L1350" s="10"/>
      <c r="P1350" s="11"/>
      <c r="Q1350" s="6"/>
    </row>
    <row r="1351" spans="1:17" s="7" customFormat="1" ht="66" customHeight="1" x14ac:dyDescent="0.25">
      <c r="A1351" s="8"/>
      <c r="B1351" s="9"/>
      <c r="C1351" s="52" t="s">
        <v>48</v>
      </c>
      <c r="D1351" s="27" t="s">
        <v>12</v>
      </c>
      <c r="E1351" s="26">
        <f>SUM(E1348:E1349)</f>
        <v>2</v>
      </c>
      <c r="F1351" s="26" t="s">
        <v>77</v>
      </c>
      <c r="G1351" s="56"/>
      <c r="H1351" s="56"/>
      <c r="I1351" s="56"/>
      <c r="J1351" s="56"/>
      <c r="L1351" s="10"/>
      <c r="P1351" s="11"/>
      <c r="Q1351" s="6"/>
    </row>
    <row r="1352" spans="1:17" s="7" customFormat="1" ht="66" customHeight="1" x14ac:dyDescent="0.25">
      <c r="A1352" s="8"/>
      <c r="B1352" s="9"/>
      <c r="C1352" s="52"/>
      <c r="D1352" s="27"/>
      <c r="E1352" s="26"/>
      <c r="F1352" s="26"/>
      <c r="G1352" s="66"/>
      <c r="H1352" s="66"/>
      <c r="I1352" s="66"/>
      <c r="J1352" s="66"/>
      <c r="L1352" s="10"/>
      <c r="P1352" s="11"/>
      <c r="Q1352" s="6"/>
    </row>
    <row r="1353" spans="1:17" s="7" customFormat="1" ht="66" customHeight="1" x14ac:dyDescent="0.25">
      <c r="A1353" s="8"/>
      <c r="B1353" s="18" t="s">
        <v>370</v>
      </c>
      <c r="C1353" s="19" t="str">
        <f>VLOOKUP($B1353,[1]ORÇ_ANALITICO!$A$10:$K$137,2,0)</f>
        <v>18.002.0031-0</v>
      </c>
      <c r="D1353" s="157" t="str">
        <f>VLOOKUP($C1353,[1]ORÇ_ANALITICO!$B$10:$L$137,4,0)</f>
        <v>TANQUE DE LOUCA BRANCA,C/COLUNA E MEDIDAS EM TORNO DE (60X56)CM,INCLUSIVE ACESSORIOS DE FIXACAO.FERRAGENS EM METAL CROMADO:TORNEIRA DE PRESSAO,1158 OU SIMILAR,DE 1/2",VALVULA DE ESCOAMENTO 1606 E SIFAO 1680 DE 1.1/2"X1.1/2".FORNECIMENTO</v>
      </c>
      <c r="E1353" s="157" t="e">
        <f>VLOOKUP(D1353,[1]ORÇ_ANALITICO!C1207:M1306,2,0)</f>
        <v>#N/A</v>
      </c>
      <c r="F1353" s="157" t="e">
        <f>VLOOKUP(E1353,[1]ORÇ_ANALITICO!E1207:N1306,2,0)</f>
        <v>#N/A</v>
      </c>
      <c r="G1353" s="157" t="e">
        <f>VLOOKUP(F1353,[1]ORÇ_ANALITICO!F1207:O1306,2,0)</f>
        <v>#N/A</v>
      </c>
      <c r="H1353" s="157" t="e">
        <f>VLOOKUP(G1353,[1]ORÇ_ANALITICO!G1207:P1306,2,0)</f>
        <v>#N/A</v>
      </c>
      <c r="I1353" s="157" t="e">
        <f>VLOOKUP(H1353,[1]ORÇ_ANALITICO!H1207:Q1306,2,0)</f>
        <v>#N/A</v>
      </c>
      <c r="J1353" s="157" t="e">
        <f>VLOOKUP(I1353,[1]ORÇ_ANALITICO!I1207:R1306,2,0)</f>
        <v>#N/A</v>
      </c>
      <c r="K1353" s="157" t="e">
        <f>VLOOKUP(J1353,[1]ORÇ_ANALITICO!J1207:S1306,2,0)</f>
        <v>#N/A</v>
      </c>
      <c r="L1353" s="157" t="e">
        <f>VLOOKUP(K1353,[1]ORÇ_ANALITICO!K1207:T1306,2,0)</f>
        <v>#N/A</v>
      </c>
      <c r="M1353" s="157" t="e">
        <f>VLOOKUP(L1353,[1]ORÇ_ANALITICO!L1207:U1306,2,0)</f>
        <v>#N/A</v>
      </c>
      <c r="N1353" s="157" t="e">
        <f>VLOOKUP(M1353,[1]ORÇ_ANALITICO!M1207:V1306,2,0)</f>
        <v>#N/A</v>
      </c>
      <c r="O1353" s="20" t="str">
        <f>VLOOKUP($C1353,[1]ORÇ_ANALITICO!$B$10:$L$137,5,0)</f>
        <v>UN</v>
      </c>
      <c r="P1353" s="20">
        <f>E1357</f>
        <v>1</v>
      </c>
      <c r="Q1353" s="6"/>
    </row>
    <row r="1354" spans="1:17" s="7" customFormat="1" ht="66" customHeight="1" x14ac:dyDescent="0.25">
      <c r="A1354" s="8"/>
      <c r="B1354" s="9"/>
      <c r="C1354" s="52"/>
      <c r="D1354" s="27"/>
      <c r="E1354" s="26"/>
      <c r="F1354" s="26"/>
      <c r="G1354" s="66"/>
      <c r="H1354" s="66"/>
      <c r="I1354" s="66"/>
      <c r="J1354" s="66"/>
      <c r="L1354" s="10"/>
      <c r="P1354" s="11"/>
      <c r="Q1354" s="6"/>
    </row>
    <row r="1355" spans="1:17" s="7" customFormat="1" ht="66" customHeight="1" x14ac:dyDescent="0.25">
      <c r="A1355" s="8"/>
      <c r="B1355" s="9"/>
      <c r="C1355" s="22"/>
      <c r="D1355" s="24"/>
      <c r="E1355" s="48" t="s">
        <v>75</v>
      </c>
      <c r="F1355" s="48"/>
      <c r="G1355" s="56"/>
      <c r="H1355" s="56"/>
      <c r="I1355" s="56"/>
      <c r="J1355" s="56"/>
      <c r="L1355" s="10"/>
      <c r="P1355" s="11"/>
      <c r="Q1355" s="6"/>
    </row>
    <row r="1356" spans="1:17" s="7" customFormat="1" ht="66" customHeight="1" x14ac:dyDescent="0.25">
      <c r="A1356" s="8"/>
      <c r="B1356" s="9"/>
      <c r="C1356" s="22"/>
      <c r="D1356" s="24"/>
      <c r="E1356" s="48"/>
      <c r="F1356" s="48"/>
      <c r="G1356" s="56"/>
      <c r="H1356" s="56"/>
      <c r="I1356" s="56"/>
      <c r="J1356" s="56"/>
      <c r="L1356" s="10"/>
      <c r="P1356" s="11"/>
      <c r="Q1356" s="6"/>
    </row>
    <row r="1357" spans="1:17" s="7" customFormat="1" ht="66" customHeight="1" x14ac:dyDescent="0.25">
      <c r="A1357" s="8"/>
      <c r="B1357" s="9"/>
      <c r="C1357" s="22" t="s">
        <v>72</v>
      </c>
      <c r="D1357" s="24" t="s">
        <v>12</v>
      </c>
      <c r="E1357" s="26">
        <v>1</v>
      </c>
      <c r="F1357" s="26" t="s">
        <v>77</v>
      </c>
      <c r="G1357" s="56"/>
      <c r="H1357" s="56"/>
      <c r="I1357" s="56"/>
      <c r="J1357" s="56"/>
      <c r="L1357" s="10"/>
      <c r="P1357" s="11"/>
      <c r="Q1357" s="6"/>
    </row>
    <row r="1358" spans="1:17" s="7" customFormat="1" ht="66" customHeight="1" x14ac:dyDescent="0.25">
      <c r="A1358" s="8"/>
      <c r="B1358" s="9"/>
      <c r="C1358" s="52"/>
      <c r="D1358" s="27"/>
      <c r="E1358" s="26"/>
      <c r="F1358" s="26"/>
      <c r="G1358" s="66"/>
      <c r="H1358" s="66"/>
      <c r="I1358" s="66"/>
      <c r="J1358" s="66"/>
      <c r="L1358" s="10"/>
      <c r="P1358" s="11"/>
      <c r="Q1358" s="6"/>
    </row>
    <row r="1359" spans="1:17" s="7" customFormat="1" ht="66" customHeight="1" x14ac:dyDescent="0.25">
      <c r="A1359" s="8"/>
      <c r="B1359" s="18" t="s">
        <v>371</v>
      </c>
      <c r="C1359" s="19" t="str">
        <f>VLOOKUP($B1359,[1]ORÇ_ANALITICO!$A$10:$K$137,2,0)</f>
        <v>18.016.0106-0</v>
      </c>
      <c r="D1359" s="157" t="str">
        <f>VLOOKUP($C1359,[1]ORÇ_ANALITICO!$B$10:$L$137,4,0)</f>
        <v>BARRA DE APOIO EM ACO INOXIDAVEL AISI 304,TUBO DE 1.1/4",INCLUSIVE FIXACAO COM PARAFUSOS INOXIDAVEIS E BUCHAS PLASTICAS,COM 80CM,CONFORME ABNT NBR 9050 PARA ACESSIBILIDADE.FORNECIMENTO E COLOCACAO</v>
      </c>
      <c r="E1359" s="157" t="e">
        <f>VLOOKUP(D1359,[1]ORÇ_ANALITICO!C1213:M1312,2,0)</f>
        <v>#N/A</v>
      </c>
      <c r="F1359" s="157" t="e">
        <f>VLOOKUP(E1359,[1]ORÇ_ANALITICO!E1213:N1312,2,0)</f>
        <v>#N/A</v>
      </c>
      <c r="G1359" s="157" t="e">
        <f>VLOOKUP(F1359,[1]ORÇ_ANALITICO!F1213:O1312,2,0)</f>
        <v>#N/A</v>
      </c>
      <c r="H1359" s="157" t="e">
        <f>VLOOKUP(G1359,[1]ORÇ_ANALITICO!G1213:P1312,2,0)</f>
        <v>#N/A</v>
      </c>
      <c r="I1359" s="157" t="e">
        <f>VLOOKUP(H1359,[1]ORÇ_ANALITICO!H1213:Q1312,2,0)</f>
        <v>#N/A</v>
      </c>
      <c r="J1359" s="157" t="e">
        <f>VLOOKUP(I1359,[1]ORÇ_ANALITICO!I1213:R1312,2,0)</f>
        <v>#N/A</v>
      </c>
      <c r="K1359" s="157" t="e">
        <f>VLOOKUP(J1359,[1]ORÇ_ANALITICO!J1213:S1312,2,0)</f>
        <v>#N/A</v>
      </c>
      <c r="L1359" s="157" t="e">
        <f>VLOOKUP(K1359,[1]ORÇ_ANALITICO!K1213:T1312,2,0)</f>
        <v>#N/A</v>
      </c>
      <c r="M1359" s="157" t="e">
        <f>VLOOKUP(L1359,[1]ORÇ_ANALITICO!L1213:U1312,2,0)</f>
        <v>#N/A</v>
      </c>
      <c r="N1359" s="157" t="e">
        <f>VLOOKUP(M1359,[1]ORÇ_ANALITICO!M1213:V1312,2,0)</f>
        <v>#N/A</v>
      </c>
      <c r="O1359" s="20" t="str">
        <f>VLOOKUP($C1359,[1]ORÇ_ANALITICO!$B$10:$L$137,5,0)</f>
        <v>UN</v>
      </c>
      <c r="P1359" s="20">
        <f>E1366</f>
        <v>4</v>
      </c>
      <c r="Q1359" s="6"/>
    </row>
    <row r="1360" spans="1:17" s="7" customFormat="1" ht="66" customHeight="1" x14ac:dyDescent="0.25">
      <c r="A1360" s="8"/>
      <c r="B1360" s="9"/>
      <c r="C1360" s="10"/>
      <c r="L1360" s="10"/>
      <c r="P1360" s="11"/>
      <c r="Q1360" s="6"/>
    </row>
    <row r="1361" spans="1:17" s="7" customFormat="1" ht="66" customHeight="1" x14ac:dyDescent="0.25">
      <c r="A1361" s="8"/>
      <c r="B1361" s="9"/>
      <c r="C1361" s="22"/>
      <c r="D1361" s="24"/>
      <c r="E1361" s="48" t="s">
        <v>75</v>
      </c>
      <c r="F1361" s="48"/>
      <c r="G1361" s="48"/>
      <c r="H1361" s="10"/>
      <c r="I1361" s="48"/>
      <c r="J1361" s="10"/>
      <c r="K1361" s="10"/>
      <c r="L1361" s="10"/>
      <c r="M1361" s="25"/>
      <c r="N1361" s="10"/>
      <c r="P1361" s="11"/>
      <c r="Q1361" s="6"/>
    </row>
    <row r="1362" spans="1:17" s="7" customFormat="1" ht="66" customHeight="1" x14ac:dyDescent="0.25">
      <c r="A1362" s="8"/>
      <c r="B1362" s="9"/>
      <c r="C1362" s="22"/>
      <c r="D1362" s="24"/>
      <c r="E1362" s="48"/>
      <c r="F1362" s="48"/>
      <c r="G1362" s="48"/>
      <c r="H1362" s="10"/>
      <c r="I1362" s="48"/>
      <c r="J1362" s="10"/>
      <c r="K1362" s="10"/>
      <c r="L1362" s="10"/>
      <c r="M1362" s="25"/>
      <c r="N1362" s="10"/>
      <c r="P1362" s="11"/>
      <c r="Q1362" s="6"/>
    </row>
    <row r="1363" spans="1:17" s="7" customFormat="1" ht="66" customHeight="1" x14ac:dyDescent="0.25">
      <c r="A1363" s="8"/>
      <c r="B1363" s="9"/>
      <c r="C1363" s="22" t="s">
        <v>123</v>
      </c>
      <c r="D1363" s="24" t="s">
        <v>12</v>
      </c>
      <c r="E1363" s="48">
        <v>2</v>
      </c>
      <c r="F1363" s="48" t="s">
        <v>77</v>
      </c>
      <c r="G1363" s="48"/>
      <c r="H1363" s="10"/>
      <c r="I1363" s="48"/>
      <c r="J1363" s="10"/>
      <c r="K1363" s="10"/>
      <c r="L1363" s="10"/>
      <c r="M1363" s="25"/>
      <c r="N1363" s="10"/>
      <c r="P1363" s="11"/>
      <c r="Q1363" s="6"/>
    </row>
    <row r="1364" spans="1:17" s="7" customFormat="1" ht="66" customHeight="1" x14ac:dyDescent="0.25">
      <c r="A1364" s="8"/>
      <c r="B1364" s="9"/>
      <c r="C1364" s="22" t="s">
        <v>67</v>
      </c>
      <c r="D1364" s="24" t="s">
        <v>12</v>
      </c>
      <c r="E1364" s="48">
        <v>2</v>
      </c>
      <c r="F1364" s="48" t="s">
        <v>77</v>
      </c>
      <c r="G1364" s="48"/>
      <c r="H1364" s="10"/>
      <c r="I1364" s="48"/>
      <c r="J1364" s="10"/>
      <c r="K1364" s="10"/>
      <c r="L1364" s="10"/>
      <c r="M1364" s="25"/>
      <c r="N1364" s="10"/>
      <c r="P1364" s="11"/>
      <c r="Q1364" s="6"/>
    </row>
    <row r="1365" spans="1:17" s="7" customFormat="1" ht="66" customHeight="1" x14ac:dyDescent="0.25">
      <c r="A1365" s="8"/>
      <c r="B1365" s="9"/>
      <c r="C1365" s="22"/>
      <c r="D1365" s="24"/>
      <c r="E1365" s="48"/>
      <c r="F1365" s="48"/>
      <c r="G1365" s="48"/>
      <c r="H1365" s="10"/>
      <c r="I1365" s="48"/>
      <c r="J1365" s="10"/>
      <c r="K1365" s="10"/>
      <c r="L1365" s="10"/>
      <c r="M1365" s="25"/>
      <c r="N1365" s="10"/>
      <c r="P1365" s="11"/>
      <c r="Q1365" s="6"/>
    </row>
    <row r="1366" spans="1:17" s="7" customFormat="1" ht="66" customHeight="1" x14ac:dyDescent="0.25">
      <c r="A1366" s="8"/>
      <c r="B1366" s="9"/>
      <c r="C1366" s="52" t="s">
        <v>48</v>
      </c>
      <c r="D1366" s="27" t="s">
        <v>12</v>
      </c>
      <c r="E1366" s="26">
        <f>SUM(E1363:E1364)</f>
        <v>4</v>
      </c>
      <c r="F1366" s="26" t="s">
        <v>77</v>
      </c>
      <c r="G1366" s="48"/>
      <c r="H1366" s="10"/>
      <c r="I1366" s="48"/>
      <c r="J1366" s="10"/>
      <c r="K1366" s="10"/>
      <c r="L1366" s="10"/>
      <c r="M1366" s="25"/>
      <c r="N1366" s="10"/>
      <c r="P1366" s="11"/>
      <c r="Q1366" s="6"/>
    </row>
    <row r="1367" spans="1:17" s="7" customFormat="1" ht="66" customHeight="1" x14ac:dyDescent="0.25">
      <c r="A1367" s="8"/>
      <c r="B1367" s="9"/>
      <c r="C1367" s="10"/>
      <c r="L1367" s="10"/>
      <c r="P1367" s="11"/>
      <c r="Q1367" s="6"/>
    </row>
    <row r="1368" spans="1:17" s="7" customFormat="1" ht="66" customHeight="1" x14ac:dyDescent="0.25">
      <c r="A1368" s="8"/>
      <c r="B1368" s="18" t="s">
        <v>372</v>
      </c>
      <c r="C1368" s="19" t="str">
        <f>VLOOKUP($B1368,[1]ORÇ_ANALITICO!$A$10:$K$137,2,0)</f>
        <v>18.032.0030-0</v>
      </c>
      <c r="D1368" s="157" t="str">
        <f>VLOOKUP($C1368,[1]ORÇ_ANALITICO!$B$10:$L$137,4,0)</f>
        <v>EXTINTOR DE INCENDIO PORTATIL,COM CARGA DE PO QUIMICO,CLASSEBC,DE 6KG,INCLUSIVE SUPORTE DE PAREDE,CONFORME ABNT NBR 12693.FORNECIMENTO E COLOCACAO</v>
      </c>
      <c r="E1368" s="157" t="e">
        <f>VLOOKUP(D1368,[1]ORÇ_ANALITICO!C1222:M1321,2,0)</f>
        <v>#N/A</v>
      </c>
      <c r="F1368" s="157" t="e">
        <f>VLOOKUP(E1368,[1]ORÇ_ANALITICO!E1222:N1321,2,0)</f>
        <v>#N/A</v>
      </c>
      <c r="G1368" s="157" t="e">
        <f>VLOOKUP(F1368,[1]ORÇ_ANALITICO!F1222:O1321,2,0)</f>
        <v>#N/A</v>
      </c>
      <c r="H1368" s="157" t="e">
        <f>VLOOKUP(G1368,[1]ORÇ_ANALITICO!G1222:P1321,2,0)</f>
        <v>#N/A</v>
      </c>
      <c r="I1368" s="157" t="e">
        <f>VLOOKUP(H1368,[1]ORÇ_ANALITICO!H1222:Q1321,2,0)</f>
        <v>#N/A</v>
      </c>
      <c r="J1368" s="157" t="e">
        <f>VLOOKUP(I1368,[1]ORÇ_ANALITICO!I1222:R1321,2,0)</f>
        <v>#N/A</v>
      </c>
      <c r="K1368" s="157" t="e">
        <f>VLOOKUP(J1368,[1]ORÇ_ANALITICO!J1222:S1321,2,0)</f>
        <v>#N/A</v>
      </c>
      <c r="L1368" s="157" t="e">
        <f>VLOOKUP(K1368,[1]ORÇ_ANALITICO!K1222:T1321,2,0)</f>
        <v>#N/A</v>
      </c>
      <c r="M1368" s="157" t="e">
        <f>VLOOKUP(L1368,[1]ORÇ_ANALITICO!L1222:U1321,2,0)</f>
        <v>#N/A</v>
      </c>
      <c r="N1368" s="157" t="e">
        <f>VLOOKUP(M1368,[1]ORÇ_ANALITICO!M1222:V1321,2,0)</f>
        <v>#N/A</v>
      </c>
      <c r="O1368" s="20" t="str">
        <f>VLOOKUP($C1368,[1]ORÇ_ANALITICO!$B$10:$L$137,5,0)</f>
        <v>UN</v>
      </c>
      <c r="P1368" s="20">
        <f>E1376</f>
        <v>7</v>
      </c>
      <c r="Q1368" s="16"/>
    </row>
    <row r="1369" spans="1:17" s="7" customFormat="1" ht="66" customHeight="1" x14ac:dyDescent="0.25">
      <c r="A1369" s="8"/>
      <c r="B1369" s="9"/>
      <c r="C1369" s="10"/>
      <c r="L1369" s="10"/>
      <c r="P1369" s="11"/>
      <c r="Q1369" s="6"/>
    </row>
    <row r="1370" spans="1:17" s="7" customFormat="1" ht="66" customHeight="1" x14ac:dyDescent="0.25">
      <c r="A1370" s="8"/>
      <c r="B1370" s="9"/>
      <c r="C1370" s="22"/>
      <c r="D1370" s="24"/>
      <c r="E1370" s="48" t="s">
        <v>75</v>
      </c>
      <c r="F1370" s="48"/>
      <c r="G1370" s="48"/>
      <c r="H1370" s="10"/>
      <c r="I1370" s="48"/>
      <c r="J1370" s="10"/>
      <c r="K1370" s="10"/>
      <c r="L1370" s="10"/>
      <c r="M1370" s="25"/>
      <c r="N1370" s="10"/>
      <c r="P1370" s="11"/>
      <c r="Q1370" s="6"/>
    </row>
    <row r="1371" spans="1:17" s="7" customFormat="1" ht="66" customHeight="1" x14ac:dyDescent="0.25">
      <c r="A1371" s="8"/>
      <c r="B1371" s="9"/>
      <c r="C1371" s="22"/>
      <c r="D1371" s="24"/>
      <c r="E1371" s="48"/>
      <c r="F1371" s="48"/>
      <c r="G1371" s="48"/>
      <c r="H1371" s="10"/>
      <c r="I1371" s="48"/>
      <c r="J1371" s="10"/>
      <c r="K1371" s="10"/>
      <c r="L1371" s="10"/>
      <c r="M1371" s="25"/>
      <c r="N1371" s="10"/>
      <c r="P1371" s="11"/>
      <c r="Q1371" s="6"/>
    </row>
    <row r="1372" spans="1:17" s="7" customFormat="1" ht="66" customHeight="1" x14ac:dyDescent="0.25">
      <c r="A1372" s="8"/>
      <c r="B1372" s="9"/>
      <c r="C1372" s="22" t="s">
        <v>373</v>
      </c>
      <c r="D1372" s="24" t="s">
        <v>12</v>
      </c>
      <c r="E1372" s="48">
        <v>3</v>
      </c>
      <c r="F1372" s="48" t="s">
        <v>77</v>
      </c>
      <c r="G1372" s="48"/>
      <c r="H1372" s="10"/>
      <c r="I1372" s="48"/>
      <c r="J1372" s="10"/>
      <c r="K1372" s="10"/>
      <c r="L1372" s="10"/>
      <c r="M1372" s="25"/>
      <c r="N1372" s="10"/>
      <c r="P1372" s="11"/>
      <c r="Q1372" s="6"/>
    </row>
    <row r="1373" spans="1:17" s="7" customFormat="1" ht="66" customHeight="1" x14ac:dyDescent="0.25">
      <c r="A1373" s="8"/>
      <c r="B1373" s="9"/>
      <c r="C1373" s="22" t="s">
        <v>374</v>
      </c>
      <c r="D1373" s="24" t="s">
        <v>12</v>
      </c>
      <c r="E1373" s="48">
        <v>3</v>
      </c>
      <c r="F1373" s="48" t="s">
        <v>77</v>
      </c>
      <c r="G1373" s="48"/>
      <c r="H1373" s="10"/>
      <c r="I1373" s="48"/>
      <c r="J1373" s="10"/>
      <c r="K1373" s="10"/>
      <c r="L1373" s="10"/>
      <c r="M1373" s="25"/>
      <c r="N1373" s="10"/>
      <c r="P1373" s="11"/>
      <c r="Q1373" s="6"/>
    </row>
    <row r="1374" spans="1:17" s="7" customFormat="1" ht="66" customHeight="1" x14ac:dyDescent="0.25">
      <c r="A1374" s="8"/>
      <c r="B1374" s="9"/>
      <c r="C1374" s="22" t="s">
        <v>15</v>
      </c>
      <c r="D1374" s="24" t="s">
        <v>12</v>
      </c>
      <c r="E1374" s="48">
        <v>1</v>
      </c>
      <c r="F1374" s="48" t="s">
        <v>77</v>
      </c>
      <c r="G1374" s="48"/>
      <c r="H1374" s="10"/>
      <c r="I1374" s="48"/>
      <c r="J1374" s="10"/>
      <c r="K1374" s="10"/>
      <c r="L1374" s="10"/>
      <c r="M1374" s="25"/>
      <c r="N1374" s="10"/>
      <c r="P1374" s="11"/>
      <c r="Q1374" s="6"/>
    </row>
    <row r="1375" spans="1:17" s="7" customFormat="1" ht="66" customHeight="1" x14ac:dyDescent="0.25">
      <c r="A1375" s="8"/>
      <c r="B1375" s="9"/>
      <c r="C1375" s="22"/>
      <c r="D1375" s="24"/>
      <c r="E1375" s="48"/>
      <c r="F1375" s="48"/>
      <c r="G1375" s="48"/>
      <c r="H1375" s="10"/>
      <c r="I1375" s="48"/>
      <c r="J1375" s="10"/>
      <c r="K1375" s="10"/>
      <c r="L1375" s="10"/>
      <c r="M1375" s="25"/>
      <c r="N1375" s="10"/>
      <c r="P1375" s="11"/>
      <c r="Q1375" s="6"/>
    </row>
    <row r="1376" spans="1:17" s="7" customFormat="1" ht="66" customHeight="1" x14ac:dyDescent="0.25">
      <c r="A1376" s="8"/>
      <c r="B1376" s="9"/>
      <c r="C1376" s="52" t="s">
        <v>48</v>
      </c>
      <c r="D1376" s="27" t="s">
        <v>12</v>
      </c>
      <c r="E1376" s="26">
        <f>SUM(E1372:E1374)</f>
        <v>7</v>
      </c>
      <c r="F1376" s="26" t="s">
        <v>77</v>
      </c>
      <c r="G1376" s="48"/>
      <c r="H1376" s="10"/>
      <c r="I1376" s="48"/>
      <c r="J1376" s="10"/>
      <c r="K1376" s="10"/>
      <c r="L1376" s="10"/>
      <c r="M1376" s="25"/>
      <c r="N1376" s="10"/>
      <c r="P1376" s="11"/>
      <c r="Q1376" s="6"/>
    </row>
    <row r="1377" spans="1:17" s="7" customFormat="1" ht="66" customHeight="1" x14ac:dyDescent="0.25">
      <c r="A1377" s="8"/>
      <c r="B1377" s="9"/>
      <c r="C1377" s="10"/>
      <c r="L1377" s="10"/>
      <c r="P1377" s="11"/>
      <c r="Q1377" s="6"/>
    </row>
    <row r="1378" spans="1:17" s="7" customFormat="1" ht="66" customHeight="1" x14ac:dyDescent="0.25">
      <c r="A1378" s="8"/>
      <c r="B1378" s="18" t="s">
        <v>375</v>
      </c>
      <c r="C1378" s="19" t="str">
        <f>VLOOKUP($B1378,[1]ORÇ_ANALITICO!$A$10:$K$137,2,0)</f>
        <v>18.032.0012-0</v>
      </c>
      <c r="D1378" s="157" t="str">
        <f>VLOOKUP($C1378,[1]ORÇ_ANALITICO!$B$10:$L$137,4,0)</f>
        <v>EXTINTOR DE INCENDIO PORTATIL,COM CARGA DE AGUA-PRESSURIZADA(AP),CLASSE A,DE 10L,INCLUSIVE SUPORTE DE PAREDE,CONFORME ABNT NBR 12693.FORNECIMENTO E COLOCACAO</v>
      </c>
      <c r="E1378" s="157" t="e">
        <f>VLOOKUP(D1378,[1]ORÇ_ANALITICO!C1232:M1331,2,0)</f>
        <v>#N/A</v>
      </c>
      <c r="F1378" s="157" t="e">
        <f>VLOOKUP(E1378,[1]ORÇ_ANALITICO!E1232:N1331,2,0)</f>
        <v>#N/A</v>
      </c>
      <c r="G1378" s="157" t="e">
        <f>VLOOKUP(F1378,[1]ORÇ_ANALITICO!F1232:O1331,2,0)</f>
        <v>#N/A</v>
      </c>
      <c r="H1378" s="157" t="e">
        <f>VLOOKUP(G1378,[1]ORÇ_ANALITICO!G1232:P1331,2,0)</f>
        <v>#N/A</v>
      </c>
      <c r="I1378" s="157" t="e">
        <f>VLOOKUP(H1378,[1]ORÇ_ANALITICO!H1232:Q1331,2,0)</f>
        <v>#N/A</v>
      </c>
      <c r="J1378" s="157" t="e">
        <f>VLOOKUP(I1378,[1]ORÇ_ANALITICO!I1232:R1331,2,0)</f>
        <v>#N/A</v>
      </c>
      <c r="K1378" s="157" t="e">
        <f>VLOOKUP(J1378,[1]ORÇ_ANALITICO!J1232:S1331,2,0)</f>
        <v>#N/A</v>
      </c>
      <c r="L1378" s="157" t="e">
        <f>VLOOKUP(K1378,[1]ORÇ_ANALITICO!K1232:T1331,2,0)</f>
        <v>#N/A</v>
      </c>
      <c r="M1378" s="157" t="e">
        <f>VLOOKUP(L1378,[1]ORÇ_ANALITICO!L1232:U1331,2,0)</f>
        <v>#N/A</v>
      </c>
      <c r="N1378" s="157" t="e">
        <f>VLOOKUP(M1378,[1]ORÇ_ANALITICO!M1232:V1331,2,0)</f>
        <v>#N/A</v>
      </c>
      <c r="O1378" s="20" t="str">
        <f>VLOOKUP($C1378,[1]ORÇ_ANALITICO!$B$10:$L$137,5,0)</f>
        <v>UN</v>
      </c>
      <c r="P1378" s="20">
        <f>E1386</f>
        <v>5</v>
      </c>
      <c r="Q1378" s="16"/>
    </row>
    <row r="1379" spans="1:17" s="7" customFormat="1" ht="66" customHeight="1" x14ac:dyDescent="0.25">
      <c r="A1379" s="8"/>
      <c r="B1379" s="9"/>
      <c r="C1379" s="10"/>
      <c r="L1379" s="10"/>
      <c r="P1379" s="11"/>
      <c r="Q1379" s="6"/>
    </row>
    <row r="1380" spans="1:17" s="7" customFormat="1" ht="66" customHeight="1" x14ac:dyDescent="0.25">
      <c r="A1380" s="8"/>
      <c r="B1380" s="9"/>
      <c r="C1380" s="22"/>
      <c r="D1380" s="24"/>
      <c r="E1380" s="48" t="s">
        <v>75</v>
      </c>
      <c r="F1380" s="48"/>
      <c r="G1380" s="48"/>
      <c r="H1380" s="10"/>
      <c r="I1380" s="48"/>
      <c r="J1380" s="10"/>
      <c r="K1380" s="10"/>
      <c r="L1380" s="10"/>
      <c r="M1380" s="25"/>
      <c r="N1380" s="10"/>
      <c r="P1380" s="11"/>
      <c r="Q1380" s="6"/>
    </row>
    <row r="1381" spans="1:17" s="7" customFormat="1" ht="66" customHeight="1" x14ac:dyDescent="0.25">
      <c r="A1381" s="8"/>
      <c r="B1381" s="9"/>
      <c r="C1381" s="22"/>
      <c r="D1381" s="24"/>
      <c r="E1381" s="48"/>
      <c r="F1381" s="48"/>
      <c r="G1381" s="48"/>
      <c r="H1381" s="10"/>
      <c r="I1381" s="48"/>
      <c r="J1381" s="10"/>
      <c r="K1381" s="10"/>
      <c r="L1381" s="10"/>
      <c r="M1381" s="25"/>
      <c r="N1381" s="10"/>
      <c r="P1381" s="11"/>
      <c r="Q1381" s="6"/>
    </row>
    <row r="1382" spans="1:17" s="7" customFormat="1" ht="66" customHeight="1" x14ac:dyDescent="0.25">
      <c r="A1382" s="8"/>
      <c r="B1382" s="9"/>
      <c r="C1382" s="22" t="s">
        <v>373</v>
      </c>
      <c r="D1382" s="24" t="s">
        <v>12</v>
      </c>
      <c r="E1382" s="48">
        <v>2</v>
      </c>
      <c r="F1382" s="48" t="s">
        <v>77</v>
      </c>
      <c r="G1382" s="48"/>
      <c r="H1382" s="10"/>
      <c r="I1382" s="48"/>
      <c r="J1382" s="10"/>
      <c r="K1382" s="10"/>
      <c r="L1382" s="10"/>
      <c r="M1382" s="25"/>
      <c r="N1382" s="10"/>
      <c r="P1382" s="11"/>
      <c r="Q1382" s="6"/>
    </row>
    <row r="1383" spans="1:17" s="7" customFormat="1" ht="66" customHeight="1" x14ac:dyDescent="0.25">
      <c r="A1383" s="8"/>
      <c r="B1383" s="9"/>
      <c r="C1383" s="22" t="s">
        <v>374</v>
      </c>
      <c r="D1383" s="24" t="s">
        <v>12</v>
      </c>
      <c r="E1383" s="48">
        <v>2</v>
      </c>
      <c r="F1383" s="48" t="s">
        <v>77</v>
      </c>
      <c r="G1383" s="48"/>
      <c r="H1383" s="10"/>
      <c r="I1383" s="48"/>
      <c r="J1383" s="10"/>
      <c r="K1383" s="10"/>
      <c r="L1383" s="10"/>
      <c r="M1383" s="25"/>
      <c r="N1383" s="10"/>
      <c r="P1383" s="11"/>
      <c r="Q1383" s="6"/>
    </row>
    <row r="1384" spans="1:17" s="7" customFormat="1" ht="66" customHeight="1" x14ac:dyDescent="0.25">
      <c r="A1384" s="8"/>
      <c r="B1384" s="9"/>
      <c r="C1384" s="22" t="s">
        <v>15</v>
      </c>
      <c r="D1384" s="24" t="s">
        <v>12</v>
      </c>
      <c r="E1384" s="48">
        <v>1</v>
      </c>
      <c r="F1384" s="48" t="s">
        <v>77</v>
      </c>
      <c r="G1384" s="48"/>
      <c r="H1384" s="10"/>
      <c r="I1384" s="48"/>
      <c r="J1384" s="10"/>
      <c r="K1384" s="10"/>
      <c r="L1384" s="10"/>
      <c r="M1384" s="25"/>
      <c r="N1384" s="10"/>
      <c r="P1384" s="11"/>
      <c r="Q1384" s="6"/>
    </row>
    <row r="1385" spans="1:17" s="7" customFormat="1" ht="66" customHeight="1" x14ac:dyDescent="0.25">
      <c r="A1385" s="8"/>
      <c r="B1385" s="9"/>
      <c r="C1385" s="22"/>
      <c r="D1385" s="24"/>
      <c r="E1385" s="48"/>
      <c r="F1385" s="48"/>
      <c r="G1385" s="48"/>
      <c r="H1385" s="10"/>
      <c r="I1385" s="48"/>
      <c r="J1385" s="10"/>
      <c r="K1385" s="10"/>
      <c r="L1385" s="10"/>
      <c r="M1385" s="25"/>
      <c r="N1385" s="10"/>
      <c r="P1385" s="11"/>
      <c r="Q1385" s="6"/>
    </row>
    <row r="1386" spans="1:17" s="7" customFormat="1" ht="66" customHeight="1" x14ac:dyDescent="0.25">
      <c r="A1386" s="8"/>
      <c r="B1386" s="9"/>
      <c r="C1386" s="52" t="s">
        <v>48</v>
      </c>
      <c r="D1386" s="27" t="s">
        <v>12</v>
      </c>
      <c r="E1386" s="26">
        <f>SUM(E1382:E1384)</f>
        <v>5</v>
      </c>
      <c r="F1386" s="26" t="s">
        <v>77</v>
      </c>
      <c r="G1386" s="48"/>
      <c r="H1386" s="10"/>
      <c r="I1386" s="48"/>
      <c r="J1386" s="10"/>
      <c r="K1386" s="10"/>
      <c r="L1386" s="10"/>
      <c r="M1386" s="25"/>
      <c r="N1386" s="10"/>
      <c r="P1386" s="11"/>
      <c r="Q1386" s="6"/>
    </row>
    <row r="1387" spans="1:17" s="7" customFormat="1" ht="66" customHeight="1" x14ac:dyDescent="0.25">
      <c r="A1387" s="8"/>
      <c r="B1387" s="9"/>
      <c r="C1387" s="10"/>
      <c r="L1387" s="10"/>
      <c r="P1387" s="11"/>
      <c r="Q1387" s="6"/>
    </row>
    <row r="1388" spans="1:17" s="7" customFormat="1" ht="66" customHeight="1" x14ac:dyDescent="0.25">
      <c r="A1388" s="8"/>
      <c r="B1388" s="18" t="s">
        <v>376</v>
      </c>
      <c r="C1388" s="19" t="str">
        <f>VLOOKUP($B1388,[1]ORÇ_ANALITICO!$A$10:$K$137,2,0)</f>
        <v>18.030.0001-0</v>
      </c>
      <c r="D1388" s="157" t="str">
        <f>VLOOKUP($C1388,[1]ORÇ_ANALITICO!$B$10:$L$137,4,0)</f>
        <v>CONDICIONADOR DE AR TIPO SPLIT 9000 BTU'S COMPREENDENDO 1 CONDENSADOR E 1 EVAPORADOR(VIDE INSTALACAO,ASSENTAMENTO E INTERLIGACOES FAMILIA 15.005).FORNECIMENTO</v>
      </c>
      <c r="E1388" s="157" t="e">
        <f>VLOOKUP(D1388,[1]ORÇ_ANALITICO!C1242:M1341,2,0)</f>
        <v>#N/A</v>
      </c>
      <c r="F1388" s="157" t="e">
        <f>VLOOKUP(E1388,[1]ORÇ_ANALITICO!E1242:N1341,2,0)</f>
        <v>#N/A</v>
      </c>
      <c r="G1388" s="157" t="e">
        <f>VLOOKUP(F1388,[1]ORÇ_ANALITICO!F1242:O1341,2,0)</f>
        <v>#N/A</v>
      </c>
      <c r="H1388" s="157" t="e">
        <f>VLOOKUP(G1388,[1]ORÇ_ANALITICO!G1242:P1341,2,0)</f>
        <v>#N/A</v>
      </c>
      <c r="I1388" s="157" t="e">
        <f>VLOOKUP(H1388,[1]ORÇ_ANALITICO!H1242:Q1341,2,0)</f>
        <v>#N/A</v>
      </c>
      <c r="J1388" s="157" t="e">
        <f>VLOOKUP(I1388,[1]ORÇ_ANALITICO!I1242:R1341,2,0)</f>
        <v>#N/A</v>
      </c>
      <c r="K1388" s="157" t="e">
        <f>VLOOKUP(J1388,[1]ORÇ_ANALITICO!J1242:S1341,2,0)</f>
        <v>#N/A</v>
      </c>
      <c r="L1388" s="157" t="e">
        <f>VLOOKUP(K1388,[1]ORÇ_ANALITICO!K1242:T1341,2,0)</f>
        <v>#N/A</v>
      </c>
      <c r="M1388" s="157" t="e">
        <f>VLOOKUP(L1388,[1]ORÇ_ANALITICO!L1242:U1341,2,0)</f>
        <v>#N/A</v>
      </c>
      <c r="N1388" s="157" t="e">
        <f>VLOOKUP(M1388,[1]ORÇ_ANALITICO!M1242:V1341,2,0)</f>
        <v>#N/A</v>
      </c>
      <c r="O1388" s="20" t="str">
        <f>VLOOKUP($C1388,[1]ORÇ_ANALITICO!$B$10:$L$137,5,0)</f>
        <v>UN</v>
      </c>
      <c r="P1388" s="20">
        <f>E1394</f>
        <v>1</v>
      </c>
      <c r="Q1388" s="6"/>
    </row>
    <row r="1389" spans="1:17" s="7" customFormat="1" ht="66" customHeight="1" x14ac:dyDescent="0.25">
      <c r="A1389" s="8"/>
      <c r="B1389" s="9"/>
      <c r="C1389" s="10"/>
      <c r="L1389" s="10"/>
      <c r="P1389" s="11"/>
      <c r="Q1389" s="6"/>
    </row>
    <row r="1390" spans="1:17" s="7" customFormat="1" ht="66" customHeight="1" x14ac:dyDescent="0.25">
      <c r="A1390" s="8"/>
      <c r="B1390" s="9"/>
      <c r="C1390" s="22"/>
      <c r="D1390" s="24"/>
      <c r="E1390" s="48" t="s">
        <v>75</v>
      </c>
      <c r="F1390" s="48" t="s">
        <v>377</v>
      </c>
      <c r="G1390" s="48"/>
      <c r="H1390" s="10"/>
      <c r="I1390" s="48"/>
      <c r="J1390" s="10"/>
      <c r="K1390" s="10"/>
      <c r="L1390" s="10"/>
      <c r="M1390" s="25"/>
      <c r="N1390" s="10"/>
      <c r="P1390" s="11"/>
      <c r="Q1390" s="6"/>
    </row>
    <row r="1391" spans="1:17" s="7" customFormat="1" ht="66" customHeight="1" x14ac:dyDescent="0.25">
      <c r="A1391" s="8"/>
      <c r="B1391" s="9"/>
      <c r="C1391" s="22"/>
      <c r="D1391" s="24"/>
      <c r="E1391" s="48"/>
      <c r="F1391" s="48"/>
      <c r="G1391" s="48"/>
      <c r="H1391" s="10"/>
      <c r="I1391" s="48"/>
      <c r="J1391" s="10"/>
      <c r="K1391" s="10"/>
      <c r="L1391" s="10"/>
      <c r="M1391" s="25"/>
      <c r="N1391" s="10"/>
      <c r="P1391" s="11"/>
      <c r="Q1391" s="6"/>
    </row>
    <row r="1392" spans="1:17" s="7" customFormat="1" ht="66" customHeight="1" x14ac:dyDescent="0.25">
      <c r="A1392" s="8"/>
      <c r="B1392" s="9"/>
      <c r="C1392" s="22"/>
      <c r="D1392" s="24" t="s">
        <v>378</v>
      </c>
      <c r="E1392" s="48">
        <v>1</v>
      </c>
      <c r="F1392" s="115">
        <v>9000</v>
      </c>
      <c r="G1392" s="48"/>
      <c r="H1392" s="10"/>
      <c r="I1392" s="48"/>
      <c r="J1392" s="10"/>
      <c r="K1392" s="10"/>
      <c r="L1392" s="10"/>
      <c r="M1392" s="25"/>
      <c r="N1392" s="10"/>
      <c r="P1392" s="11"/>
      <c r="Q1392" s="6"/>
    </row>
    <row r="1393" spans="1:17" s="7" customFormat="1" ht="66" customHeight="1" x14ac:dyDescent="0.25">
      <c r="A1393" s="8"/>
      <c r="B1393" s="9"/>
      <c r="C1393" s="22"/>
      <c r="D1393" s="24"/>
      <c r="E1393" s="48"/>
      <c r="F1393" s="115"/>
      <c r="G1393" s="48"/>
      <c r="H1393" s="10"/>
      <c r="I1393" s="48"/>
      <c r="J1393" s="10"/>
      <c r="K1393" s="10"/>
      <c r="L1393" s="10"/>
      <c r="M1393" s="25"/>
      <c r="N1393" s="10"/>
      <c r="P1393" s="11"/>
      <c r="Q1393" s="6"/>
    </row>
    <row r="1394" spans="1:17" s="7" customFormat="1" ht="66" customHeight="1" x14ac:dyDescent="0.25">
      <c r="A1394" s="8"/>
      <c r="B1394" s="9"/>
      <c r="C1394" s="10"/>
      <c r="D1394" s="96" t="s">
        <v>48</v>
      </c>
      <c r="E1394" s="66">
        <f>E1392</f>
        <v>1</v>
      </c>
      <c r="L1394" s="10"/>
      <c r="P1394" s="11"/>
      <c r="Q1394" s="6"/>
    </row>
    <row r="1395" spans="1:17" s="7" customFormat="1" ht="66" customHeight="1" x14ac:dyDescent="0.25">
      <c r="A1395" s="8"/>
      <c r="B1395" s="9"/>
      <c r="C1395" s="10"/>
      <c r="L1395" s="10"/>
      <c r="P1395" s="11"/>
      <c r="Q1395" s="6"/>
    </row>
    <row r="1396" spans="1:17" s="7" customFormat="1" ht="66" customHeight="1" x14ac:dyDescent="0.25">
      <c r="A1396" s="8"/>
      <c r="B1396" s="18" t="s">
        <v>379</v>
      </c>
      <c r="C1396" s="19" t="str">
        <f>VLOOKUP($B1396,[1]ORÇ_ANALITICO!$A$10:$K$137,2,0)</f>
        <v>18.030.0002-0</v>
      </c>
      <c r="D1396" s="157" t="str">
        <f>VLOOKUP($C1396,[1]ORÇ_ANALITICO!$B$10:$L$137,4,0)</f>
        <v>CONDICIONADOR DE AR TIPO SPLIT 12000 BTU'S COMPREENDENDO 1 CONDENSADOR E 1 EVAPORADOR(VIDE INSTALACAO,ASSENTAMENTO E INTERLIGACOES FAMILIA 15.005).FORNECIMENTO</v>
      </c>
      <c r="E1396" s="157" t="e">
        <f>VLOOKUP(D1396,[1]ORÇ_ANALITICO!C1250:M1349,2,0)</f>
        <v>#N/A</v>
      </c>
      <c r="F1396" s="157" t="e">
        <f>VLOOKUP(E1396,[1]ORÇ_ANALITICO!E1250:N1349,2,0)</f>
        <v>#N/A</v>
      </c>
      <c r="G1396" s="157" t="e">
        <f>VLOOKUP(F1396,[1]ORÇ_ANALITICO!F1250:O1349,2,0)</f>
        <v>#N/A</v>
      </c>
      <c r="H1396" s="157" t="e">
        <f>VLOOKUP(G1396,[1]ORÇ_ANALITICO!G1250:P1349,2,0)</f>
        <v>#N/A</v>
      </c>
      <c r="I1396" s="157" t="e">
        <f>VLOOKUP(H1396,[1]ORÇ_ANALITICO!H1250:Q1349,2,0)</f>
        <v>#N/A</v>
      </c>
      <c r="J1396" s="157" t="e">
        <f>VLOOKUP(I1396,[1]ORÇ_ANALITICO!I1250:R1349,2,0)</f>
        <v>#N/A</v>
      </c>
      <c r="K1396" s="157" t="e">
        <f>VLOOKUP(J1396,[1]ORÇ_ANALITICO!J1250:S1349,2,0)</f>
        <v>#N/A</v>
      </c>
      <c r="L1396" s="157" t="e">
        <f>VLOOKUP(K1396,[1]ORÇ_ANALITICO!K1250:T1349,2,0)</f>
        <v>#N/A</v>
      </c>
      <c r="M1396" s="157" t="e">
        <f>VLOOKUP(L1396,[1]ORÇ_ANALITICO!L1250:U1349,2,0)</f>
        <v>#N/A</v>
      </c>
      <c r="N1396" s="157" t="e">
        <f>VLOOKUP(M1396,[1]ORÇ_ANALITICO!M1250:V1349,2,0)</f>
        <v>#N/A</v>
      </c>
      <c r="O1396" s="20" t="str">
        <f>VLOOKUP($C1396,[1]ORÇ_ANALITICO!$B$10:$L$137,5,0)</f>
        <v>UN</v>
      </c>
      <c r="P1396" s="20">
        <f>E1403</f>
        <v>2</v>
      </c>
      <c r="Q1396" s="6"/>
    </row>
    <row r="1397" spans="1:17" s="7" customFormat="1" ht="66" customHeight="1" x14ac:dyDescent="0.25">
      <c r="A1397" s="8"/>
      <c r="B1397" s="9"/>
      <c r="C1397" s="10"/>
      <c r="L1397" s="10"/>
      <c r="P1397" s="11"/>
      <c r="Q1397" s="6"/>
    </row>
    <row r="1398" spans="1:17" s="7" customFormat="1" ht="66" customHeight="1" x14ac:dyDescent="0.25">
      <c r="A1398" s="8"/>
      <c r="B1398" s="9"/>
      <c r="C1398" s="22"/>
      <c r="D1398" s="24"/>
      <c r="E1398" s="48" t="s">
        <v>75</v>
      </c>
      <c r="F1398" s="48" t="s">
        <v>377</v>
      </c>
      <c r="L1398" s="10"/>
      <c r="P1398" s="11"/>
      <c r="Q1398" s="6"/>
    </row>
    <row r="1399" spans="1:17" s="7" customFormat="1" ht="66" customHeight="1" x14ac:dyDescent="0.25">
      <c r="A1399" s="8"/>
      <c r="B1399" s="9"/>
      <c r="C1399" s="22"/>
      <c r="D1399" s="24"/>
      <c r="E1399" s="48"/>
      <c r="F1399" s="48"/>
      <c r="L1399" s="10"/>
      <c r="P1399" s="11"/>
      <c r="Q1399" s="6"/>
    </row>
    <row r="1400" spans="1:17" s="7" customFormat="1" ht="66" customHeight="1" x14ac:dyDescent="0.25">
      <c r="A1400" s="8"/>
      <c r="B1400" s="9"/>
      <c r="C1400" s="22"/>
      <c r="D1400" s="24" t="s">
        <v>380</v>
      </c>
      <c r="E1400" s="48">
        <v>1</v>
      </c>
      <c r="F1400" s="115">
        <v>12000</v>
      </c>
      <c r="L1400" s="10"/>
      <c r="P1400" s="11"/>
      <c r="Q1400" s="6"/>
    </row>
    <row r="1401" spans="1:17" s="7" customFormat="1" ht="66" customHeight="1" x14ac:dyDescent="0.25">
      <c r="A1401" s="8"/>
      <c r="B1401" s="9"/>
      <c r="C1401" s="22"/>
      <c r="D1401" s="24" t="s">
        <v>381</v>
      </c>
      <c r="E1401" s="48">
        <v>1</v>
      </c>
      <c r="F1401" s="115">
        <v>12000</v>
      </c>
      <c r="L1401" s="10"/>
      <c r="P1401" s="11"/>
      <c r="Q1401" s="6"/>
    </row>
    <row r="1402" spans="1:17" s="7" customFormat="1" ht="66" customHeight="1" x14ac:dyDescent="0.25">
      <c r="A1402" s="8"/>
      <c r="B1402" s="9"/>
      <c r="C1402" s="10"/>
      <c r="D1402" s="24"/>
      <c r="E1402" s="48"/>
      <c r="F1402" s="115"/>
      <c r="L1402" s="10"/>
      <c r="P1402" s="11"/>
      <c r="Q1402" s="6"/>
    </row>
    <row r="1403" spans="1:17" s="7" customFormat="1" ht="66" customHeight="1" x14ac:dyDescent="0.25">
      <c r="A1403" s="8"/>
      <c r="B1403" s="9"/>
      <c r="C1403" s="10"/>
      <c r="D1403" s="96" t="s">
        <v>48</v>
      </c>
      <c r="E1403" s="66">
        <f>E1400+E1401</f>
        <v>2</v>
      </c>
      <c r="F1403" s="115"/>
      <c r="L1403" s="10"/>
      <c r="P1403" s="11"/>
      <c r="Q1403" s="6"/>
    </row>
    <row r="1404" spans="1:17" s="7" customFormat="1" ht="66" customHeight="1" x14ac:dyDescent="0.25">
      <c r="A1404" s="8"/>
      <c r="B1404" s="9"/>
      <c r="C1404" s="10"/>
      <c r="D1404" s="24"/>
      <c r="E1404" s="48"/>
      <c r="F1404" s="115"/>
      <c r="L1404" s="10"/>
      <c r="P1404" s="11"/>
      <c r="Q1404" s="6"/>
    </row>
    <row r="1405" spans="1:17" s="7" customFormat="1" ht="66" customHeight="1" x14ac:dyDescent="0.25">
      <c r="A1405" s="8"/>
      <c r="B1405" s="18" t="s">
        <v>382</v>
      </c>
      <c r="C1405" s="19" t="str">
        <f>VLOOKUP($B1405,[1]ORÇ_ANALITICO!$A$10:$K$137,2,0)</f>
        <v>18.030.0003-0</v>
      </c>
      <c r="D1405" s="157" t="str">
        <f>VLOOKUP($C1405,[1]ORÇ_ANALITICO!$B$10:$L$137,4,0)</f>
        <v>CONDICIONADOR DE AR TIPO SPLIT 18000 BTU'S COMPREENDENDO 1 CONDENSADOR E 1 EVAPORADOR(VIDE INSTALACAO,ASSENTAMENTO E INTERLIGACOES FAMILIA 15.005).FORNECIMENTO</v>
      </c>
      <c r="E1405" s="157" t="e">
        <f>VLOOKUP(D1405,[1]ORÇ_ANALITICO!C1259:M1358,2,0)</f>
        <v>#N/A</v>
      </c>
      <c r="F1405" s="157" t="e">
        <f>VLOOKUP(E1405,[1]ORÇ_ANALITICO!E1259:N1358,2,0)</f>
        <v>#N/A</v>
      </c>
      <c r="G1405" s="157" t="e">
        <f>VLOOKUP(F1405,[1]ORÇ_ANALITICO!F1259:O1358,2,0)</f>
        <v>#N/A</v>
      </c>
      <c r="H1405" s="157" t="e">
        <f>VLOOKUP(G1405,[1]ORÇ_ANALITICO!G1259:P1358,2,0)</f>
        <v>#N/A</v>
      </c>
      <c r="I1405" s="157" t="e">
        <f>VLOOKUP(H1405,[1]ORÇ_ANALITICO!H1259:Q1358,2,0)</f>
        <v>#N/A</v>
      </c>
      <c r="J1405" s="157" t="e">
        <f>VLOOKUP(I1405,[1]ORÇ_ANALITICO!I1259:R1358,2,0)</f>
        <v>#N/A</v>
      </c>
      <c r="K1405" s="157" t="e">
        <f>VLOOKUP(J1405,[1]ORÇ_ANALITICO!J1259:S1358,2,0)</f>
        <v>#N/A</v>
      </c>
      <c r="L1405" s="157" t="e">
        <f>VLOOKUP(K1405,[1]ORÇ_ANALITICO!K1259:T1358,2,0)</f>
        <v>#N/A</v>
      </c>
      <c r="M1405" s="157" t="e">
        <f>VLOOKUP(L1405,[1]ORÇ_ANALITICO!L1259:U1358,2,0)</f>
        <v>#N/A</v>
      </c>
      <c r="N1405" s="157" t="e">
        <f>VLOOKUP(M1405,[1]ORÇ_ANALITICO!M1259:V1358,2,0)</f>
        <v>#N/A</v>
      </c>
      <c r="O1405" s="20" t="str">
        <f>VLOOKUP($C1405,[1]ORÇ_ANALITICO!$B$10:$L$137,5,0)</f>
        <v>UN</v>
      </c>
      <c r="P1405" s="20">
        <f>E1412</f>
        <v>2</v>
      </c>
      <c r="Q1405" s="6"/>
    </row>
    <row r="1406" spans="1:17" s="7" customFormat="1" ht="66" customHeight="1" x14ac:dyDescent="0.25">
      <c r="A1406" s="8"/>
      <c r="B1406" s="9"/>
      <c r="C1406" s="10"/>
      <c r="D1406" s="24"/>
      <c r="E1406" s="48"/>
      <c r="F1406" s="115"/>
      <c r="L1406" s="10"/>
      <c r="P1406" s="11"/>
      <c r="Q1406" s="6"/>
    </row>
    <row r="1407" spans="1:17" s="7" customFormat="1" ht="66" customHeight="1" x14ac:dyDescent="0.25">
      <c r="A1407" s="8"/>
      <c r="B1407" s="9"/>
      <c r="C1407" s="22"/>
      <c r="D1407" s="24"/>
      <c r="E1407" s="48" t="s">
        <v>75</v>
      </c>
      <c r="F1407" s="48" t="s">
        <v>377</v>
      </c>
      <c r="L1407" s="10"/>
      <c r="P1407" s="11"/>
      <c r="Q1407" s="6"/>
    </row>
    <row r="1408" spans="1:17" s="7" customFormat="1" ht="66" customHeight="1" x14ac:dyDescent="0.25">
      <c r="A1408" s="8"/>
      <c r="B1408" s="9"/>
      <c r="C1408" s="22"/>
      <c r="D1408" s="24"/>
      <c r="E1408" s="48"/>
      <c r="F1408" s="48"/>
      <c r="L1408" s="10"/>
      <c r="P1408" s="11"/>
      <c r="Q1408" s="6"/>
    </row>
    <row r="1409" spans="1:17" s="7" customFormat="1" ht="66" customHeight="1" x14ac:dyDescent="0.25">
      <c r="A1409" s="8"/>
      <c r="B1409" s="9"/>
      <c r="C1409" s="22"/>
      <c r="D1409" s="24" t="s">
        <v>232</v>
      </c>
      <c r="E1409" s="48">
        <v>1</v>
      </c>
      <c r="F1409" s="115">
        <v>18000</v>
      </c>
      <c r="L1409" s="10"/>
      <c r="P1409" s="11"/>
      <c r="Q1409" s="6"/>
    </row>
    <row r="1410" spans="1:17" s="7" customFormat="1" ht="66" customHeight="1" x14ac:dyDescent="0.25">
      <c r="A1410" s="8"/>
      <c r="B1410" s="9"/>
      <c r="C1410" s="22"/>
      <c r="D1410" s="24" t="s">
        <v>217</v>
      </c>
      <c r="E1410" s="48">
        <v>1</v>
      </c>
      <c r="F1410" s="115">
        <v>18000</v>
      </c>
      <c r="L1410" s="10"/>
      <c r="P1410" s="11"/>
      <c r="Q1410" s="6"/>
    </row>
    <row r="1411" spans="1:17" s="7" customFormat="1" ht="66" customHeight="1" x14ac:dyDescent="0.25">
      <c r="A1411" s="8"/>
      <c r="B1411" s="9"/>
      <c r="C1411" s="10"/>
      <c r="D1411" s="24"/>
      <c r="E1411" s="48"/>
      <c r="F1411" s="115"/>
      <c r="L1411" s="10"/>
      <c r="P1411" s="11"/>
      <c r="Q1411" s="6"/>
    </row>
    <row r="1412" spans="1:17" s="7" customFormat="1" ht="66" customHeight="1" x14ac:dyDescent="0.25">
      <c r="A1412" s="8"/>
      <c r="B1412" s="9"/>
      <c r="C1412" s="10"/>
      <c r="D1412" s="96" t="s">
        <v>48</v>
      </c>
      <c r="E1412" s="66">
        <f>E1409+E1410</f>
        <v>2</v>
      </c>
      <c r="F1412" s="115"/>
      <c r="L1412" s="10"/>
      <c r="P1412" s="11"/>
      <c r="Q1412" s="6"/>
    </row>
    <row r="1413" spans="1:17" s="7" customFormat="1" ht="66" customHeight="1" x14ac:dyDescent="0.25">
      <c r="A1413" s="8"/>
      <c r="B1413" s="9"/>
      <c r="C1413" s="10"/>
      <c r="D1413" s="24"/>
      <c r="E1413" s="48"/>
      <c r="F1413" s="115"/>
      <c r="L1413" s="10"/>
      <c r="P1413" s="11"/>
      <c r="Q1413" s="6"/>
    </row>
    <row r="1414" spans="1:17" s="7" customFormat="1" ht="66" customHeight="1" x14ac:dyDescent="0.25">
      <c r="A1414" s="8"/>
      <c r="B1414" s="18" t="s">
        <v>383</v>
      </c>
      <c r="C1414" s="19" t="str">
        <f>VLOOKUP($B1414,[1]ORÇ_ANALITICO!$A$10:$K$137,2,0)</f>
        <v>18.030.0005-0</v>
      </c>
      <c r="D1414" s="157" t="str">
        <f>VLOOKUP($C1414,[1]ORÇ_ANALITICO!$B$10:$L$137,4,0)</f>
        <v>CONDICIONADOR DE AR TIPO SPLIT 24000 BTU'S COMPREENDENDO 1 CONDENSADOR E 1 EVAPORADOR(VIDE INSTALACAO,ASSENTAMENTO E INTERLIGACOES FAMILIA 15.005).FORNECIMENTO</v>
      </c>
      <c r="E1414" s="157" t="e">
        <f>VLOOKUP(D1414,[1]ORÇ_ANALITICO!C1268:M1367,2,0)</f>
        <v>#N/A</v>
      </c>
      <c r="F1414" s="157" t="e">
        <f>VLOOKUP(E1414,[1]ORÇ_ANALITICO!E1268:N1367,2,0)</f>
        <v>#N/A</v>
      </c>
      <c r="G1414" s="157" t="e">
        <f>VLOOKUP(F1414,[1]ORÇ_ANALITICO!F1268:O1367,2,0)</f>
        <v>#N/A</v>
      </c>
      <c r="H1414" s="157" t="e">
        <f>VLOOKUP(G1414,[1]ORÇ_ANALITICO!G1268:P1367,2,0)</f>
        <v>#N/A</v>
      </c>
      <c r="I1414" s="157" t="e">
        <f>VLOOKUP(H1414,[1]ORÇ_ANALITICO!H1268:Q1367,2,0)</f>
        <v>#N/A</v>
      </c>
      <c r="J1414" s="157" t="e">
        <f>VLOOKUP(I1414,[1]ORÇ_ANALITICO!I1268:R1367,2,0)</f>
        <v>#N/A</v>
      </c>
      <c r="K1414" s="157" t="e">
        <f>VLOOKUP(J1414,[1]ORÇ_ANALITICO!J1268:S1367,2,0)</f>
        <v>#N/A</v>
      </c>
      <c r="L1414" s="157" t="e">
        <f>VLOOKUP(K1414,[1]ORÇ_ANALITICO!K1268:T1367,2,0)</f>
        <v>#N/A</v>
      </c>
      <c r="M1414" s="157" t="e">
        <f>VLOOKUP(L1414,[1]ORÇ_ANALITICO!L1268:U1367,2,0)</f>
        <v>#N/A</v>
      </c>
      <c r="N1414" s="157" t="e">
        <f>VLOOKUP(M1414,[1]ORÇ_ANALITICO!M1268:V1367,2,0)</f>
        <v>#N/A</v>
      </c>
      <c r="O1414" s="20" t="str">
        <f>VLOOKUP($C1414,[1]ORÇ_ANALITICO!$B$10:$L$137,5,0)</f>
        <v>UN</v>
      </c>
      <c r="P1414" s="20">
        <f>E1422</f>
        <v>3</v>
      </c>
      <c r="Q1414" s="6"/>
    </row>
    <row r="1415" spans="1:17" s="7" customFormat="1" ht="66" customHeight="1" x14ac:dyDescent="0.25">
      <c r="A1415" s="8"/>
      <c r="B1415" s="9"/>
      <c r="C1415" s="10"/>
      <c r="D1415" s="24"/>
      <c r="E1415" s="48"/>
      <c r="F1415" s="115"/>
      <c r="L1415" s="10"/>
      <c r="P1415" s="11"/>
      <c r="Q1415" s="6"/>
    </row>
    <row r="1416" spans="1:17" s="7" customFormat="1" ht="66" customHeight="1" x14ac:dyDescent="0.25">
      <c r="A1416" s="8"/>
      <c r="B1416" s="9"/>
      <c r="C1416" s="22"/>
      <c r="D1416" s="24"/>
      <c r="E1416" s="48" t="s">
        <v>75</v>
      </c>
      <c r="F1416" s="48" t="s">
        <v>377</v>
      </c>
      <c r="L1416" s="10"/>
      <c r="P1416" s="11"/>
      <c r="Q1416" s="6"/>
    </row>
    <row r="1417" spans="1:17" s="7" customFormat="1" ht="66" customHeight="1" x14ac:dyDescent="0.25">
      <c r="A1417" s="8"/>
      <c r="B1417" s="9"/>
      <c r="C1417" s="22"/>
      <c r="D1417" s="24"/>
      <c r="E1417" s="48"/>
      <c r="F1417" s="48"/>
      <c r="L1417" s="10"/>
      <c r="P1417" s="11"/>
      <c r="Q1417" s="6"/>
    </row>
    <row r="1418" spans="1:17" s="7" customFormat="1" ht="66" customHeight="1" x14ac:dyDescent="0.25">
      <c r="A1418" s="8"/>
      <c r="B1418" s="9"/>
      <c r="C1418" s="22" t="s">
        <v>15</v>
      </c>
      <c r="D1418" s="24" t="s">
        <v>384</v>
      </c>
      <c r="E1418" s="48">
        <v>1</v>
      </c>
      <c r="F1418" s="115">
        <v>24000</v>
      </c>
      <c r="L1418" s="10"/>
      <c r="P1418" s="11"/>
      <c r="Q1418" s="6"/>
    </row>
    <row r="1419" spans="1:17" s="7" customFormat="1" ht="66" customHeight="1" x14ac:dyDescent="0.25">
      <c r="A1419" s="8"/>
      <c r="B1419" s="9"/>
      <c r="C1419" s="22"/>
      <c r="D1419" s="24" t="s">
        <v>124</v>
      </c>
      <c r="E1419" s="48">
        <v>1</v>
      </c>
      <c r="F1419" s="115">
        <v>24000</v>
      </c>
      <c r="L1419" s="10"/>
      <c r="P1419" s="11"/>
      <c r="Q1419" s="6"/>
    </row>
    <row r="1420" spans="1:17" s="7" customFormat="1" ht="66" customHeight="1" x14ac:dyDescent="0.25">
      <c r="A1420" s="8"/>
      <c r="B1420" s="9"/>
      <c r="C1420" s="22"/>
      <c r="D1420" s="24" t="s">
        <v>385</v>
      </c>
      <c r="E1420" s="48">
        <v>1</v>
      </c>
      <c r="F1420" s="115">
        <v>24000</v>
      </c>
      <c r="L1420" s="10"/>
      <c r="P1420" s="11"/>
      <c r="Q1420" s="6"/>
    </row>
    <row r="1421" spans="1:17" s="7" customFormat="1" ht="66" customHeight="1" x14ac:dyDescent="0.25">
      <c r="A1421" s="8"/>
      <c r="B1421" s="9"/>
      <c r="C1421" s="10"/>
      <c r="D1421" s="24"/>
      <c r="E1421" s="48"/>
      <c r="F1421" s="115"/>
      <c r="L1421" s="10"/>
      <c r="P1421" s="11"/>
      <c r="Q1421" s="6"/>
    </row>
    <row r="1422" spans="1:17" s="7" customFormat="1" ht="66" customHeight="1" x14ac:dyDescent="0.25">
      <c r="A1422" s="8"/>
      <c r="B1422" s="9"/>
      <c r="C1422" s="10"/>
      <c r="D1422" s="96" t="s">
        <v>48</v>
      </c>
      <c r="E1422" s="66">
        <f>E1418+E1419+E1420</f>
        <v>3</v>
      </c>
      <c r="F1422" s="115"/>
      <c r="L1422" s="10"/>
      <c r="P1422" s="11"/>
      <c r="Q1422" s="6"/>
    </row>
    <row r="1423" spans="1:17" s="7" customFormat="1" ht="66" customHeight="1" x14ac:dyDescent="0.25">
      <c r="A1423" s="8"/>
      <c r="B1423" s="9"/>
      <c r="C1423" s="10"/>
      <c r="D1423" s="24"/>
      <c r="E1423" s="48"/>
      <c r="F1423" s="115"/>
      <c r="L1423" s="10"/>
      <c r="P1423" s="11"/>
      <c r="Q1423" s="6"/>
    </row>
    <row r="1424" spans="1:17" s="7" customFormat="1" ht="66" customHeight="1" x14ac:dyDescent="0.25">
      <c r="A1424" s="8"/>
      <c r="B1424" s="18" t="s">
        <v>386</v>
      </c>
      <c r="C1424" s="19" t="str">
        <f>VLOOKUP($B1424,[1]ORÇ_ANALITICO!$A$10:$K$137,2,0)</f>
        <v>18.030.0007-0</v>
      </c>
      <c r="D1424" s="157" t="str">
        <f>VLOOKUP($C1424,[1]ORÇ_ANALITICO!$B$10:$L$137,4,0)</f>
        <v>CONDICIONADOR DE AR TIPO SPLIT 30000 BTU'S COMPREENDENDO 1 CONDENSADOR E 1 EVAPORADOR(VIDE INSTALACAO,ASSENTAMENTO E INTERLIGACOES FAMILIA 15.005).FORNECIMENTO</v>
      </c>
      <c r="E1424" s="157" t="e">
        <f>VLOOKUP(D1424,[1]ORÇ_ANALITICO!C1278:M1377,2,0)</f>
        <v>#N/A</v>
      </c>
      <c r="F1424" s="157" t="e">
        <f>VLOOKUP(E1424,[1]ORÇ_ANALITICO!E1278:N1377,2,0)</f>
        <v>#N/A</v>
      </c>
      <c r="G1424" s="157" t="e">
        <f>VLOOKUP(F1424,[1]ORÇ_ANALITICO!F1278:O1377,2,0)</f>
        <v>#N/A</v>
      </c>
      <c r="H1424" s="157" t="e">
        <f>VLOOKUP(G1424,[1]ORÇ_ANALITICO!G1278:P1377,2,0)</f>
        <v>#N/A</v>
      </c>
      <c r="I1424" s="157" t="e">
        <f>VLOOKUP(H1424,[1]ORÇ_ANALITICO!H1278:Q1377,2,0)</f>
        <v>#N/A</v>
      </c>
      <c r="J1424" s="157" t="e">
        <f>VLOOKUP(I1424,[1]ORÇ_ANALITICO!I1278:R1377,2,0)</f>
        <v>#N/A</v>
      </c>
      <c r="K1424" s="157" t="e">
        <f>VLOOKUP(J1424,[1]ORÇ_ANALITICO!J1278:S1377,2,0)</f>
        <v>#N/A</v>
      </c>
      <c r="L1424" s="157" t="e">
        <f>VLOOKUP(K1424,[1]ORÇ_ANALITICO!K1278:T1377,2,0)</f>
        <v>#N/A</v>
      </c>
      <c r="M1424" s="157" t="e">
        <f>VLOOKUP(L1424,[1]ORÇ_ANALITICO!L1278:U1377,2,0)</f>
        <v>#N/A</v>
      </c>
      <c r="N1424" s="157" t="e">
        <f>VLOOKUP(M1424,[1]ORÇ_ANALITICO!M1278:V1377,2,0)</f>
        <v>#N/A</v>
      </c>
      <c r="O1424" s="20" t="str">
        <f>VLOOKUP($C1424,[1]ORÇ_ANALITICO!$B$10:$L$137,5,0)</f>
        <v>UN</v>
      </c>
      <c r="P1424" s="20">
        <f>E1432</f>
        <v>3</v>
      </c>
      <c r="Q1424" s="6"/>
    </row>
    <row r="1425" spans="1:17" s="7" customFormat="1" ht="66" customHeight="1" x14ac:dyDescent="0.25">
      <c r="A1425" s="8"/>
      <c r="B1425" s="9"/>
      <c r="C1425" s="10"/>
      <c r="D1425" s="24"/>
      <c r="E1425" s="48"/>
      <c r="F1425" s="115"/>
      <c r="L1425" s="10"/>
      <c r="P1425" s="11"/>
      <c r="Q1425" s="6"/>
    </row>
    <row r="1426" spans="1:17" s="7" customFormat="1" ht="66" customHeight="1" x14ac:dyDescent="0.25">
      <c r="A1426" s="8"/>
      <c r="B1426" s="9"/>
      <c r="C1426" s="22"/>
      <c r="D1426" s="24"/>
      <c r="E1426" s="48" t="s">
        <v>75</v>
      </c>
      <c r="F1426" s="48" t="s">
        <v>377</v>
      </c>
      <c r="L1426" s="10"/>
      <c r="P1426" s="11"/>
      <c r="Q1426" s="6"/>
    </row>
    <row r="1427" spans="1:17" s="7" customFormat="1" ht="66" customHeight="1" x14ac:dyDescent="0.25">
      <c r="A1427" s="8"/>
      <c r="B1427" s="9"/>
      <c r="C1427" s="22"/>
      <c r="D1427" s="24"/>
      <c r="E1427" s="48"/>
      <c r="F1427" s="48"/>
      <c r="L1427" s="10"/>
      <c r="P1427" s="11"/>
      <c r="Q1427" s="6"/>
    </row>
    <row r="1428" spans="1:17" s="7" customFormat="1" ht="66" customHeight="1" x14ac:dyDescent="0.25">
      <c r="A1428" s="8"/>
      <c r="B1428" s="9"/>
      <c r="C1428" s="22" t="s">
        <v>373</v>
      </c>
      <c r="D1428" s="24" t="s">
        <v>353</v>
      </c>
      <c r="E1428" s="48">
        <v>1</v>
      </c>
      <c r="F1428" s="115">
        <v>30000</v>
      </c>
      <c r="L1428" s="10"/>
      <c r="P1428" s="11"/>
      <c r="Q1428" s="6"/>
    </row>
    <row r="1429" spans="1:17" s="7" customFormat="1" ht="66" customHeight="1" x14ac:dyDescent="0.25">
      <c r="A1429" s="8"/>
      <c r="B1429" s="9"/>
      <c r="C1429" s="22"/>
      <c r="D1429" s="24" t="s">
        <v>387</v>
      </c>
      <c r="E1429" s="48">
        <v>1</v>
      </c>
      <c r="F1429" s="115">
        <v>30000</v>
      </c>
      <c r="L1429" s="10"/>
      <c r="P1429" s="11"/>
      <c r="Q1429" s="6"/>
    </row>
    <row r="1430" spans="1:17" s="7" customFormat="1" ht="66" customHeight="1" x14ac:dyDescent="0.25">
      <c r="A1430" s="8"/>
      <c r="B1430" s="9"/>
      <c r="C1430" s="22" t="s">
        <v>15</v>
      </c>
      <c r="D1430" s="24" t="s">
        <v>233</v>
      </c>
      <c r="E1430" s="48">
        <v>1</v>
      </c>
      <c r="F1430" s="115">
        <v>30000</v>
      </c>
      <c r="L1430" s="10"/>
      <c r="P1430" s="11"/>
      <c r="Q1430" s="6"/>
    </row>
    <row r="1431" spans="1:17" s="7" customFormat="1" ht="66" customHeight="1" x14ac:dyDescent="0.25">
      <c r="A1431" s="8"/>
      <c r="B1431" s="9"/>
      <c r="C1431" s="10"/>
      <c r="D1431" s="24"/>
      <c r="E1431" s="48"/>
      <c r="F1431" s="115"/>
      <c r="L1431" s="10"/>
      <c r="P1431" s="11"/>
      <c r="Q1431" s="6"/>
    </row>
    <row r="1432" spans="1:17" s="7" customFormat="1" ht="66" customHeight="1" x14ac:dyDescent="0.25">
      <c r="A1432" s="8"/>
      <c r="B1432" s="9"/>
      <c r="C1432" s="10"/>
      <c r="D1432" s="96" t="s">
        <v>48</v>
      </c>
      <c r="E1432" s="66">
        <f>E1428+E1429+E1430</f>
        <v>3</v>
      </c>
      <c r="F1432" s="115"/>
      <c r="L1432" s="10"/>
      <c r="P1432" s="11"/>
      <c r="Q1432" s="6"/>
    </row>
    <row r="1433" spans="1:17" s="7" customFormat="1" ht="66" customHeight="1" x14ac:dyDescent="0.25">
      <c r="A1433" s="8"/>
      <c r="B1433" s="9"/>
      <c r="C1433" s="10"/>
      <c r="D1433" s="24"/>
      <c r="E1433" s="48"/>
      <c r="F1433" s="115"/>
      <c r="L1433" s="10"/>
      <c r="P1433" s="11"/>
      <c r="Q1433" s="6"/>
    </row>
    <row r="1434" spans="1:17" s="7" customFormat="1" ht="66" customHeight="1" x14ac:dyDescent="0.25">
      <c r="A1434" s="8"/>
      <c r="B1434" s="18" t="s">
        <v>388</v>
      </c>
      <c r="C1434" s="19" t="str">
        <f>VLOOKUP($B1434,[1]ORÇ_ANALITICO!$A$10:$K$137,2,0)</f>
        <v>18.030.0008-0</v>
      </c>
      <c r="D1434" s="157" t="str">
        <f>VLOOKUP($C1434,[1]ORÇ_ANALITICO!$B$10:$L$137,4,0)</f>
        <v>CONDICIONADOR DE AR TIPO SPLIT 36000 BTU'S COMPREENDENDO 1 CONDENSADOR E  1 EVAPORADOR(VIDE INSTALACAO,ASSENTAMENTO E INTERLIGACOES FAMILIA 15.005).FORNECIMENTO</v>
      </c>
      <c r="E1434" s="157" t="e">
        <f>VLOOKUP(D1434,[1]ORÇ_ANALITICO!C1288:M1387,2,0)</f>
        <v>#N/A</v>
      </c>
      <c r="F1434" s="157" t="e">
        <f>VLOOKUP(E1434,[1]ORÇ_ANALITICO!E1288:N1387,2,0)</f>
        <v>#N/A</v>
      </c>
      <c r="G1434" s="157" t="e">
        <f>VLOOKUP(F1434,[1]ORÇ_ANALITICO!F1288:O1387,2,0)</f>
        <v>#N/A</v>
      </c>
      <c r="H1434" s="157" t="e">
        <f>VLOOKUP(G1434,[1]ORÇ_ANALITICO!G1288:P1387,2,0)</f>
        <v>#N/A</v>
      </c>
      <c r="I1434" s="157" t="e">
        <f>VLOOKUP(H1434,[1]ORÇ_ANALITICO!H1288:Q1387,2,0)</f>
        <v>#N/A</v>
      </c>
      <c r="J1434" s="157" t="e">
        <f>VLOOKUP(I1434,[1]ORÇ_ANALITICO!I1288:R1387,2,0)</f>
        <v>#N/A</v>
      </c>
      <c r="K1434" s="157" t="e">
        <f>VLOOKUP(J1434,[1]ORÇ_ANALITICO!J1288:S1387,2,0)</f>
        <v>#N/A</v>
      </c>
      <c r="L1434" s="157" t="e">
        <f>VLOOKUP(K1434,[1]ORÇ_ANALITICO!K1288:T1387,2,0)</f>
        <v>#N/A</v>
      </c>
      <c r="M1434" s="157" t="e">
        <f>VLOOKUP(L1434,[1]ORÇ_ANALITICO!L1288:U1387,2,0)</f>
        <v>#N/A</v>
      </c>
      <c r="N1434" s="157" t="e">
        <f>VLOOKUP(M1434,[1]ORÇ_ANALITICO!M1288:V1387,2,0)</f>
        <v>#N/A</v>
      </c>
      <c r="O1434" s="20" t="str">
        <f>VLOOKUP($C1434,[1]ORÇ_ANALITICO!$B$10:$L$137,5,0)</f>
        <v>UN</v>
      </c>
      <c r="P1434" s="20">
        <f>E1440</f>
        <v>1</v>
      </c>
      <c r="Q1434" s="6"/>
    </row>
    <row r="1435" spans="1:17" s="7" customFormat="1" ht="66" customHeight="1" x14ac:dyDescent="0.25">
      <c r="A1435" s="8"/>
      <c r="B1435" s="9"/>
      <c r="C1435" s="10"/>
      <c r="D1435" s="24"/>
      <c r="E1435" s="48"/>
      <c r="F1435" s="115"/>
      <c r="L1435" s="10"/>
      <c r="P1435" s="11"/>
      <c r="Q1435" s="6"/>
    </row>
    <row r="1436" spans="1:17" s="7" customFormat="1" ht="66" customHeight="1" x14ac:dyDescent="0.25">
      <c r="A1436" s="8"/>
      <c r="B1436" s="9"/>
      <c r="C1436" s="22"/>
      <c r="D1436" s="24"/>
      <c r="E1436" s="48" t="s">
        <v>75</v>
      </c>
      <c r="F1436" s="48" t="s">
        <v>377</v>
      </c>
      <c r="L1436" s="10"/>
      <c r="P1436" s="11"/>
      <c r="Q1436" s="6"/>
    </row>
    <row r="1437" spans="1:17" s="7" customFormat="1" ht="66" customHeight="1" x14ac:dyDescent="0.25">
      <c r="A1437" s="8"/>
      <c r="B1437" s="9"/>
      <c r="C1437" s="22"/>
      <c r="D1437" s="24"/>
      <c r="E1437" s="48"/>
      <c r="F1437" s="48"/>
      <c r="L1437" s="10"/>
      <c r="P1437" s="11"/>
      <c r="Q1437" s="6"/>
    </row>
    <row r="1438" spans="1:17" s="7" customFormat="1" ht="66" customHeight="1" x14ac:dyDescent="0.25">
      <c r="A1438" s="8"/>
      <c r="B1438" s="9"/>
      <c r="C1438" s="52"/>
      <c r="D1438" s="24" t="s">
        <v>64</v>
      </c>
      <c r="E1438" s="48">
        <v>1</v>
      </c>
      <c r="F1438" s="115">
        <v>36000</v>
      </c>
      <c r="L1438" s="10"/>
      <c r="P1438" s="11"/>
      <c r="Q1438" s="6"/>
    </row>
    <row r="1439" spans="1:17" s="7" customFormat="1" ht="66" customHeight="1" x14ac:dyDescent="0.25">
      <c r="A1439" s="8"/>
      <c r="B1439" s="9"/>
      <c r="C1439" s="10"/>
      <c r="L1439" s="10"/>
      <c r="P1439" s="11"/>
      <c r="Q1439" s="6"/>
    </row>
    <row r="1440" spans="1:17" s="7" customFormat="1" ht="66" customHeight="1" x14ac:dyDescent="0.25">
      <c r="A1440" s="8"/>
      <c r="B1440" s="9"/>
      <c r="C1440" s="10"/>
      <c r="D1440" s="96" t="s">
        <v>48</v>
      </c>
      <c r="E1440" s="66">
        <f>E1438</f>
        <v>1</v>
      </c>
      <c r="L1440" s="10"/>
      <c r="P1440" s="11"/>
      <c r="Q1440" s="6"/>
    </row>
    <row r="1441" spans="1:17" s="7" customFormat="1" ht="66" customHeight="1" x14ac:dyDescent="0.25">
      <c r="A1441" s="8"/>
      <c r="B1441" s="9"/>
      <c r="C1441" s="10"/>
      <c r="L1441" s="10"/>
      <c r="P1441" s="11"/>
      <c r="Q1441" s="6"/>
    </row>
    <row r="1442" spans="1:17" s="7" customFormat="1" ht="66" customHeight="1" x14ac:dyDescent="0.25">
      <c r="A1442" s="8"/>
      <c r="B1442" s="18" t="s">
        <v>389</v>
      </c>
      <c r="C1442" s="19" t="str">
        <f>VLOOKUP($B1442,[1]ORÇ_ANALITICO!$A$10:$K$137,2,0)</f>
        <v>18.030.0009-0</v>
      </c>
      <c r="D1442" s="157" t="str">
        <f>VLOOKUP($C1442,[1]ORÇ_ANALITICO!$B$10:$L$137,4,0)</f>
        <v>CONDICIONADOR DE AR TIPO SPLIT 48000 BTU'S COMPREENDENDO 1 CONDENSADOR E 1 EVAPORADOR(VIDE INSTALACAO,ASSENTAMENTO E INTERLIGACOES FAMILIA 15.005).FORNECIMENTO</v>
      </c>
      <c r="E1442" s="157" t="e">
        <f>VLOOKUP(D1442,[1]ORÇ_ANALITICO!C1296:M1395,2,0)</f>
        <v>#N/A</v>
      </c>
      <c r="F1442" s="157" t="e">
        <f>VLOOKUP(E1442,[1]ORÇ_ANALITICO!E1296:N1395,2,0)</f>
        <v>#N/A</v>
      </c>
      <c r="G1442" s="157" t="e">
        <f>VLOOKUP(F1442,[1]ORÇ_ANALITICO!F1296:O1395,2,0)</f>
        <v>#N/A</v>
      </c>
      <c r="H1442" s="157" t="e">
        <f>VLOOKUP(G1442,[1]ORÇ_ANALITICO!G1296:P1395,2,0)</f>
        <v>#N/A</v>
      </c>
      <c r="I1442" s="157" t="e">
        <f>VLOOKUP(H1442,[1]ORÇ_ANALITICO!H1296:Q1395,2,0)</f>
        <v>#N/A</v>
      </c>
      <c r="J1442" s="157" t="e">
        <f>VLOOKUP(I1442,[1]ORÇ_ANALITICO!I1296:R1395,2,0)</f>
        <v>#N/A</v>
      </c>
      <c r="K1442" s="157" t="e">
        <f>VLOOKUP(J1442,[1]ORÇ_ANALITICO!J1296:S1395,2,0)</f>
        <v>#N/A</v>
      </c>
      <c r="L1442" s="157" t="e">
        <f>VLOOKUP(K1442,[1]ORÇ_ANALITICO!K1296:T1395,2,0)</f>
        <v>#N/A</v>
      </c>
      <c r="M1442" s="157" t="e">
        <f>VLOOKUP(L1442,[1]ORÇ_ANALITICO!L1296:U1395,2,0)</f>
        <v>#N/A</v>
      </c>
      <c r="N1442" s="157" t="e">
        <f>VLOOKUP(M1442,[1]ORÇ_ANALITICO!M1296:V1395,2,0)</f>
        <v>#N/A</v>
      </c>
      <c r="O1442" s="20" t="str">
        <f>VLOOKUP($C1442,[1]ORÇ_ANALITICO!$B$10:$L$137,5,0)</f>
        <v>UN</v>
      </c>
      <c r="P1442" s="20">
        <f>E1448</f>
        <v>2</v>
      </c>
      <c r="Q1442" s="6"/>
    </row>
    <row r="1443" spans="1:17" s="7" customFormat="1" ht="66" customHeight="1" x14ac:dyDescent="0.25">
      <c r="A1443" s="8"/>
      <c r="B1443" s="9"/>
      <c r="C1443" s="10"/>
      <c r="D1443" s="24"/>
      <c r="E1443" s="48"/>
      <c r="F1443" s="115"/>
      <c r="L1443" s="10"/>
      <c r="P1443" s="11"/>
      <c r="Q1443" s="6"/>
    </row>
    <row r="1444" spans="1:17" s="7" customFormat="1" ht="66" customHeight="1" x14ac:dyDescent="0.25">
      <c r="A1444" s="8"/>
      <c r="B1444" s="9"/>
      <c r="C1444" s="22"/>
      <c r="D1444" s="24"/>
      <c r="E1444" s="48" t="s">
        <v>75</v>
      </c>
      <c r="F1444" s="48" t="s">
        <v>377</v>
      </c>
      <c r="L1444" s="10"/>
      <c r="P1444" s="11"/>
      <c r="Q1444" s="6"/>
    </row>
    <row r="1445" spans="1:17" s="7" customFormat="1" ht="66" customHeight="1" x14ac:dyDescent="0.25">
      <c r="A1445" s="8"/>
      <c r="B1445" s="9"/>
      <c r="C1445" s="22"/>
      <c r="D1445" s="24"/>
      <c r="E1445" s="48"/>
      <c r="F1445" s="48"/>
      <c r="L1445" s="10"/>
      <c r="P1445" s="11"/>
      <c r="Q1445" s="6"/>
    </row>
    <row r="1446" spans="1:17" s="7" customFormat="1" ht="66" customHeight="1" x14ac:dyDescent="0.25">
      <c r="A1446" s="8"/>
      <c r="B1446" s="9"/>
      <c r="C1446" s="10"/>
      <c r="D1446" s="24" t="s">
        <v>390</v>
      </c>
      <c r="E1446" s="48">
        <v>2</v>
      </c>
      <c r="F1446" s="115">
        <v>48000</v>
      </c>
      <c r="L1446" s="10"/>
      <c r="P1446" s="11"/>
      <c r="Q1446" s="6"/>
    </row>
    <row r="1447" spans="1:17" s="7" customFormat="1" ht="66" customHeight="1" x14ac:dyDescent="0.25">
      <c r="A1447" s="8"/>
      <c r="B1447" s="9"/>
      <c r="C1447" s="10"/>
      <c r="D1447" s="24"/>
      <c r="E1447" s="48"/>
      <c r="F1447" s="115"/>
      <c r="L1447" s="10"/>
      <c r="P1447" s="11"/>
      <c r="Q1447" s="6"/>
    </row>
    <row r="1448" spans="1:17" s="7" customFormat="1" ht="66" customHeight="1" x14ac:dyDescent="0.25">
      <c r="A1448" s="8"/>
      <c r="B1448" s="9"/>
      <c r="C1448" s="10"/>
      <c r="D1448" s="96" t="s">
        <v>48</v>
      </c>
      <c r="E1448" s="66">
        <f>E1446</f>
        <v>2</v>
      </c>
      <c r="F1448" s="115"/>
      <c r="L1448" s="10"/>
      <c r="P1448" s="11"/>
      <c r="Q1448" s="6"/>
    </row>
    <row r="1449" spans="1:17" s="7" customFormat="1" ht="66" customHeight="1" x14ac:dyDescent="0.25">
      <c r="A1449" s="8"/>
      <c r="B1449" s="9"/>
      <c r="C1449" s="10"/>
      <c r="D1449" s="24"/>
      <c r="E1449" s="48"/>
      <c r="F1449" s="115"/>
      <c r="L1449" s="10"/>
      <c r="P1449" s="11"/>
      <c r="Q1449" s="6"/>
    </row>
    <row r="1450" spans="1:17" s="7" customFormat="1" ht="66" customHeight="1" x14ac:dyDescent="0.25">
      <c r="A1450" s="8"/>
      <c r="B1450" s="162" t="s">
        <v>391</v>
      </c>
      <c r="C1450" s="163"/>
      <c r="D1450" s="163"/>
      <c r="E1450" s="163"/>
      <c r="F1450" s="163"/>
      <c r="G1450" s="163"/>
      <c r="H1450" s="163"/>
      <c r="I1450" s="163"/>
      <c r="J1450" s="163"/>
      <c r="K1450" s="163"/>
      <c r="L1450" s="163"/>
      <c r="M1450" s="163"/>
      <c r="N1450" s="163"/>
      <c r="O1450" s="163"/>
      <c r="P1450" s="164"/>
      <c r="Q1450" s="6"/>
    </row>
    <row r="1451" spans="1:17" s="7" customFormat="1" ht="66" customHeight="1" x14ac:dyDescent="0.25">
      <c r="A1451" s="8"/>
      <c r="B1451" s="18" t="s">
        <v>392</v>
      </c>
      <c r="C1451" s="19" t="s">
        <v>393</v>
      </c>
      <c r="D1451" s="157" t="s">
        <v>391</v>
      </c>
      <c r="E1451" s="157"/>
      <c r="F1451" s="157"/>
      <c r="G1451" s="157"/>
      <c r="H1451" s="157"/>
      <c r="I1451" s="157"/>
      <c r="J1451" s="157"/>
      <c r="K1451" s="157"/>
      <c r="L1451" s="157"/>
      <c r="M1451" s="157"/>
      <c r="N1451" s="157"/>
      <c r="O1451" s="20" t="s">
        <v>394</v>
      </c>
      <c r="P1451" s="20">
        <f>J1455</f>
        <v>100</v>
      </c>
      <c r="Q1451" s="6"/>
    </row>
    <row r="1452" spans="1:17" s="7" customFormat="1" ht="66" customHeight="1" x14ac:dyDescent="0.25">
      <c r="A1452" s="8"/>
      <c r="B1452" s="116"/>
      <c r="C1452" s="117"/>
      <c r="D1452" s="118"/>
      <c r="E1452" s="116"/>
      <c r="F1452" s="116"/>
      <c r="G1452" s="116"/>
      <c r="H1452" s="116"/>
      <c r="I1452" s="116"/>
      <c r="J1452" s="116"/>
      <c r="K1452" s="116"/>
      <c r="L1452" s="116"/>
      <c r="M1452" s="116"/>
      <c r="N1452" s="116"/>
      <c r="O1452" s="119"/>
      <c r="P1452" s="120"/>
      <c r="Q1452" s="6"/>
    </row>
    <row r="1453" spans="1:17" s="7" customFormat="1" ht="66" customHeight="1" x14ac:dyDescent="0.25">
      <c r="A1453" s="8"/>
      <c r="B1453" s="116"/>
      <c r="C1453" s="121"/>
      <c r="D1453" s="122"/>
      <c r="E1453" s="123"/>
      <c r="F1453" s="121"/>
      <c r="G1453" s="123"/>
      <c r="H1453" s="121"/>
      <c r="I1453" s="123"/>
      <c r="J1453" s="121"/>
      <c r="K1453" s="116"/>
      <c r="L1453" s="116"/>
      <c r="M1453" s="116"/>
      <c r="N1453" s="116"/>
      <c r="O1453" s="119"/>
      <c r="P1453" s="120"/>
      <c r="Q1453" s="6"/>
    </row>
    <row r="1454" spans="1:17" s="7" customFormat="1" ht="66" customHeight="1" x14ac:dyDescent="0.25">
      <c r="A1454" s="8"/>
      <c r="B1454" s="116"/>
      <c r="C1454" s="121"/>
      <c r="D1454" s="121"/>
      <c r="E1454" s="121"/>
      <c r="F1454" s="121"/>
      <c r="G1454" s="121"/>
      <c r="H1454" s="121"/>
      <c r="I1454" s="121"/>
      <c r="J1454" s="121"/>
      <c r="K1454" s="116"/>
      <c r="L1454" s="116"/>
      <c r="M1454" s="116"/>
      <c r="N1454" s="116"/>
      <c r="O1454" s="119"/>
      <c r="P1454" s="120"/>
      <c r="Q1454" s="6"/>
    </row>
    <row r="1455" spans="1:17" s="7" customFormat="1" ht="66" customHeight="1" x14ac:dyDescent="0.25">
      <c r="A1455" s="8"/>
      <c r="B1455" s="116"/>
      <c r="C1455" s="117"/>
      <c r="D1455" s="124"/>
      <c r="E1455" s="124"/>
      <c r="F1455" s="124"/>
      <c r="G1455" s="124"/>
      <c r="H1455" s="124"/>
      <c r="I1455" s="124" t="s">
        <v>29</v>
      </c>
      <c r="J1455" s="125">
        <v>100</v>
      </c>
      <c r="K1455" s="124"/>
      <c r="L1455" s="124"/>
      <c r="M1455" s="124"/>
      <c r="N1455" s="124"/>
      <c r="O1455" s="119"/>
      <c r="P1455" s="119"/>
      <c r="Q1455" s="6"/>
    </row>
    <row r="1456" spans="1:17" s="7" customFormat="1" ht="66" customHeight="1" x14ac:dyDescent="0.25">
      <c r="A1456" s="8"/>
      <c r="B1456" s="116"/>
      <c r="C1456" s="117"/>
      <c r="D1456" s="118"/>
      <c r="E1456" s="116"/>
      <c r="F1456" s="116"/>
      <c r="G1456" s="116"/>
      <c r="H1456" s="116"/>
      <c r="I1456" s="116"/>
      <c r="J1456" s="116"/>
      <c r="K1456" s="116"/>
      <c r="L1456" s="116"/>
      <c r="M1456" s="116"/>
      <c r="N1456" s="116"/>
      <c r="O1456" s="119"/>
      <c r="P1456" s="120"/>
      <c r="Q1456" s="6"/>
    </row>
    <row r="1457" spans="1:17" s="7" customFormat="1" ht="66" customHeight="1" x14ac:dyDescent="0.25">
      <c r="A1457" s="8"/>
      <c r="B1457" s="126"/>
      <c r="C1457" s="121"/>
      <c r="D1457" s="122"/>
      <c r="E1457" s="123"/>
      <c r="F1457" s="121"/>
      <c r="G1457" s="123"/>
      <c r="H1457" s="121"/>
      <c r="I1457" s="123"/>
      <c r="J1457" s="121"/>
      <c r="K1457" s="116"/>
      <c r="L1457" s="116"/>
      <c r="M1457" s="116"/>
      <c r="N1457" s="116"/>
      <c r="O1457" s="119"/>
      <c r="P1457" s="127"/>
      <c r="Q1457" s="6"/>
    </row>
    <row r="1458" spans="1:17" s="7" customFormat="1" ht="66" customHeight="1" x14ac:dyDescent="0.25">
      <c r="A1458" s="8"/>
      <c r="B1458" s="158" t="str">
        <f>[1]ORÇ_ANALITICO!B129</f>
        <v>ADMINISTRAÇÃO DE OBRA</v>
      </c>
      <c r="C1458" s="159"/>
      <c r="D1458" s="159"/>
      <c r="E1458" s="159"/>
      <c r="F1458" s="159"/>
      <c r="G1458" s="159"/>
      <c r="H1458" s="159"/>
      <c r="I1458" s="159"/>
      <c r="J1458" s="159"/>
      <c r="K1458" s="159"/>
      <c r="L1458" s="159"/>
      <c r="M1458" s="159"/>
      <c r="N1458" s="159"/>
      <c r="O1458" s="159"/>
      <c r="P1458" s="160"/>
      <c r="Q1458" s="6"/>
    </row>
    <row r="1459" spans="1:17" s="7" customFormat="1" ht="66" customHeight="1" x14ac:dyDescent="0.25">
      <c r="A1459" s="8"/>
      <c r="B1459" s="18" t="s">
        <v>395</v>
      </c>
      <c r="C1459" s="19" t="s">
        <v>396</v>
      </c>
      <c r="D1459" s="157" t="s">
        <v>397</v>
      </c>
      <c r="E1459" s="157" t="e">
        <f>VLOOKUP(D1459,[1]ORÇ_ANALITICO!C1322:M1421,2,0)</f>
        <v>#N/A</v>
      </c>
      <c r="F1459" s="157" t="e">
        <f>VLOOKUP(E1459,[1]ORÇ_ANALITICO!E1322:N1421,2,0)</f>
        <v>#N/A</v>
      </c>
      <c r="G1459" s="157" t="e">
        <f>VLOOKUP(F1459,[1]ORÇ_ANALITICO!F1322:O1421,2,0)</f>
        <v>#N/A</v>
      </c>
      <c r="H1459" s="157" t="e">
        <f>VLOOKUP(G1459,[1]ORÇ_ANALITICO!G1322:P1421,2,0)</f>
        <v>#N/A</v>
      </c>
      <c r="I1459" s="157" t="e">
        <f>VLOOKUP(H1459,[1]ORÇ_ANALITICO!H1322:Q1421,2,0)</f>
        <v>#N/A</v>
      </c>
      <c r="J1459" s="157" t="e">
        <f>VLOOKUP(I1459,[1]ORÇ_ANALITICO!I1322:R1421,2,0)</f>
        <v>#N/A</v>
      </c>
      <c r="K1459" s="157" t="e">
        <f>VLOOKUP(J1459,[1]ORÇ_ANALITICO!J1322:S1421,2,0)</f>
        <v>#N/A</v>
      </c>
      <c r="L1459" s="157" t="e">
        <f>VLOOKUP(K1459,[1]ORÇ_ANALITICO!K1322:T1421,2,0)</f>
        <v>#N/A</v>
      </c>
      <c r="M1459" s="157" t="e">
        <f>VLOOKUP(L1459,[1]ORÇ_ANALITICO!L1322:U1421,2,0)</f>
        <v>#N/A</v>
      </c>
      <c r="N1459" s="157" t="e">
        <f>VLOOKUP(M1459,[1]ORÇ_ANALITICO!M1322:V1421,2,0)</f>
        <v>#N/A</v>
      </c>
      <c r="O1459" s="20" t="s">
        <v>394</v>
      </c>
      <c r="P1459" s="20">
        <v>100</v>
      </c>
      <c r="Q1459" s="6"/>
    </row>
    <row r="1460" spans="1:17" s="7" customFormat="1" ht="66" customHeight="1" x14ac:dyDescent="0.25">
      <c r="A1460" s="8"/>
      <c r="B1460" s="126"/>
      <c r="C1460" s="117"/>
      <c r="D1460" s="118"/>
      <c r="E1460" s="116"/>
      <c r="F1460" s="116"/>
      <c r="G1460" s="116"/>
      <c r="H1460" s="116"/>
      <c r="I1460" s="116"/>
      <c r="J1460" s="116"/>
      <c r="K1460" s="116"/>
      <c r="L1460" s="116"/>
      <c r="M1460" s="116"/>
      <c r="N1460" s="116"/>
      <c r="O1460" s="119"/>
      <c r="P1460" s="120"/>
      <c r="Q1460" s="6"/>
    </row>
    <row r="1461" spans="1:17" s="7" customFormat="1" ht="66" customHeight="1" x14ac:dyDescent="0.25">
      <c r="A1461" s="8"/>
      <c r="B1461" s="126"/>
      <c r="C1461" s="121"/>
      <c r="D1461" s="121"/>
      <c r="E1461" s="123"/>
      <c r="F1461" s="121"/>
      <c r="G1461" s="123"/>
      <c r="H1461" s="121"/>
      <c r="I1461" s="123"/>
      <c r="J1461" s="121"/>
      <c r="K1461" s="116"/>
      <c r="L1461" s="116"/>
      <c r="M1461" s="117"/>
      <c r="N1461" s="116"/>
      <c r="O1461" s="119"/>
      <c r="P1461" s="120"/>
      <c r="Q1461" s="6"/>
    </row>
    <row r="1462" spans="1:17" s="7" customFormat="1" ht="66" customHeight="1" x14ac:dyDescent="0.25">
      <c r="A1462" s="8"/>
      <c r="B1462" s="126"/>
      <c r="C1462" s="121"/>
      <c r="D1462" s="121"/>
      <c r="E1462" s="121"/>
      <c r="F1462" s="121"/>
      <c r="G1462" s="121"/>
      <c r="H1462" s="121"/>
      <c r="I1462" s="121"/>
      <c r="J1462" s="121"/>
      <c r="K1462" s="116"/>
      <c r="L1462" s="116"/>
      <c r="M1462" s="116"/>
      <c r="N1462" s="116"/>
      <c r="O1462" s="119"/>
      <c r="P1462" s="120"/>
      <c r="Q1462" s="6"/>
    </row>
    <row r="1463" spans="1:17" s="7" customFormat="1" ht="66" customHeight="1" x14ac:dyDescent="0.25">
      <c r="A1463" s="8"/>
      <c r="B1463" s="126"/>
      <c r="C1463" s="128"/>
      <c r="D1463" s="129"/>
      <c r="E1463" s="130"/>
      <c r="F1463" s="129"/>
      <c r="G1463" s="131"/>
      <c r="H1463" s="129"/>
      <c r="I1463" s="132"/>
      <c r="J1463" s="129"/>
      <c r="K1463" s="133"/>
      <c r="L1463" s="134"/>
      <c r="M1463" s="130"/>
      <c r="N1463" s="129"/>
      <c r="O1463" s="135"/>
      <c r="P1463" s="120"/>
      <c r="Q1463" s="6"/>
    </row>
    <row r="1464" spans="1:17" s="7" customFormat="1" ht="66" customHeight="1" x14ac:dyDescent="0.25">
      <c r="A1464" s="8"/>
      <c r="B1464" s="43"/>
      <c r="C1464" s="123"/>
      <c r="D1464" s="123"/>
      <c r="E1464" s="120"/>
      <c r="F1464" s="123"/>
      <c r="G1464" s="120"/>
      <c r="H1464" s="123"/>
      <c r="I1464" s="136"/>
      <c r="J1464" s="123"/>
      <c r="K1464" s="116"/>
      <c r="L1464" s="116"/>
      <c r="M1464" s="116"/>
      <c r="N1464" s="116"/>
      <c r="O1464" s="119"/>
      <c r="P1464" s="120"/>
      <c r="Q1464" s="6"/>
    </row>
    <row r="1465" spans="1:17" s="7" customFormat="1" ht="66" customHeight="1" x14ac:dyDescent="0.25">
      <c r="A1465" s="8"/>
      <c r="B1465" s="116"/>
      <c r="C1465" s="117"/>
      <c r="D1465" s="161"/>
      <c r="E1465" s="161"/>
      <c r="F1465" s="161"/>
      <c r="G1465" s="161"/>
      <c r="H1465" s="161"/>
      <c r="I1465" s="161"/>
      <c r="J1465" s="161"/>
      <c r="K1465" s="161"/>
      <c r="L1465" s="161"/>
      <c r="M1465" s="161"/>
      <c r="N1465" s="161"/>
      <c r="O1465" s="119"/>
      <c r="P1465" s="119"/>
      <c r="Q1465" s="6"/>
    </row>
    <row r="1466" spans="1:17" s="7" customFormat="1" ht="66" customHeight="1" x14ac:dyDescent="0.25">
      <c r="A1466" s="8"/>
      <c r="B1466" s="116"/>
      <c r="C1466" s="117"/>
      <c r="D1466" s="118"/>
      <c r="E1466" s="116"/>
      <c r="F1466" s="116"/>
      <c r="G1466" s="116"/>
      <c r="H1466" s="116"/>
      <c r="I1466" s="116"/>
      <c r="J1466" s="116"/>
      <c r="K1466" s="116"/>
      <c r="L1466" s="116"/>
      <c r="M1466" s="116"/>
      <c r="N1466" s="116"/>
      <c r="O1466" s="119"/>
      <c r="P1466" s="120"/>
      <c r="Q1466" s="6"/>
    </row>
    <row r="1467" spans="1:17" s="7" customFormat="1" ht="66" customHeight="1" x14ac:dyDescent="0.25">
      <c r="A1467" s="8"/>
      <c r="B1467" s="116"/>
      <c r="C1467" s="121"/>
      <c r="D1467" s="121"/>
      <c r="E1467" s="123"/>
      <c r="F1467" s="121"/>
      <c r="G1467" s="123"/>
      <c r="H1467" s="121"/>
      <c r="I1467" s="123"/>
      <c r="J1467" s="121"/>
      <c r="K1467" s="116"/>
      <c r="L1467" s="116"/>
      <c r="M1467" s="117"/>
      <c r="N1467" s="116"/>
      <c r="O1467" s="119"/>
      <c r="P1467" s="120"/>
      <c r="Q1467" s="6"/>
    </row>
    <row r="1468" spans="1:17" s="7" customFormat="1" ht="66" customHeight="1" x14ac:dyDescent="0.25">
      <c r="A1468" s="8"/>
      <c r="B1468" s="116"/>
      <c r="C1468" s="121"/>
      <c r="D1468" s="121"/>
      <c r="E1468" s="121"/>
      <c r="F1468" s="121"/>
      <c r="G1468" s="137"/>
      <c r="H1468" s="121"/>
      <c r="I1468" s="121"/>
      <c r="J1468" s="121"/>
      <c r="K1468" s="116"/>
      <c r="L1468" s="116"/>
      <c r="M1468" s="116"/>
      <c r="N1468" s="116"/>
      <c r="O1468" s="119"/>
      <c r="P1468" s="120"/>
      <c r="Q1468" s="6"/>
    </row>
    <row r="1469" spans="1:17" s="7" customFormat="1" ht="66" customHeight="1" x14ac:dyDescent="0.25">
      <c r="A1469" s="8"/>
      <c r="B1469" s="116"/>
      <c r="C1469" s="117"/>
      <c r="D1469" s="129"/>
      <c r="E1469" s="130"/>
      <c r="F1469" s="129"/>
      <c r="G1469" s="131"/>
      <c r="H1469" s="129"/>
      <c r="I1469" s="132"/>
      <c r="J1469" s="129"/>
      <c r="K1469" s="133"/>
      <c r="L1469" s="134"/>
      <c r="M1469" s="130"/>
      <c r="N1469" s="129"/>
      <c r="O1469" s="135"/>
      <c r="P1469" s="120"/>
      <c r="Q1469" s="6"/>
    </row>
    <row r="1470" spans="1:17" s="7" customFormat="1" ht="66" customHeight="1" x14ac:dyDescent="0.25">
      <c r="A1470" s="8"/>
      <c r="B1470" s="116"/>
      <c r="C1470" s="123"/>
      <c r="D1470" s="123"/>
      <c r="E1470" s="120"/>
      <c r="F1470" s="123"/>
      <c r="G1470" s="120"/>
      <c r="H1470" s="123"/>
      <c r="I1470" s="136"/>
      <c r="J1470" s="123"/>
      <c r="K1470" s="116"/>
      <c r="L1470" s="116"/>
      <c r="M1470" s="116"/>
      <c r="N1470" s="116"/>
      <c r="O1470" s="119"/>
      <c r="P1470" s="120"/>
      <c r="Q1470" s="6"/>
    </row>
    <row r="1471" spans="1:17" s="7" customFormat="1" ht="66" customHeight="1" x14ac:dyDescent="0.25">
      <c r="A1471" s="8"/>
      <c r="B1471" s="116"/>
      <c r="C1471" s="117"/>
      <c r="D1471" s="161"/>
      <c r="E1471" s="161"/>
      <c r="F1471" s="161"/>
      <c r="G1471" s="161"/>
      <c r="H1471" s="161"/>
      <c r="I1471" s="161"/>
      <c r="J1471" s="161"/>
      <c r="K1471" s="161"/>
      <c r="L1471" s="161"/>
      <c r="M1471" s="161"/>
      <c r="N1471" s="161"/>
      <c r="O1471" s="119"/>
      <c r="P1471" s="119"/>
      <c r="Q1471" s="6"/>
    </row>
    <row r="1472" spans="1:17" s="7" customFormat="1" ht="66" customHeight="1" x14ac:dyDescent="0.25">
      <c r="A1472" s="8"/>
      <c r="B1472" s="116"/>
      <c r="C1472" s="117"/>
      <c r="D1472" s="118"/>
      <c r="E1472" s="116"/>
      <c r="F1472" s="116"/>
      <c r="G1472" s="116"/>
      <c r="H1472" s="116"/>
      <c r="I1472" s="116"/>
      <c r="J1472" s="116"/>
      <c r="K1472" s="116"/>
      <c r="L1472" s="116"/>
      <c r="M1472" s="116"/>
      <c r="N1472" s="116"/>
      <c r="O1472" s="119"/>
      <c r="P1472" s="120"/>
      <c r="Q1472" s="6"/>
    </row>
    <row r="1473" spans="1:17" s="7" customFormat="1" ht="66" customHeight="1" x14ac:dyDescent="0.25">
      <c r="A1473" s="8"/>
      <c r="B1473" s="116"/>
      <c r="C1473" s="121"/>
      <c r="D1473" s="121"/>
      <c r="E1473" s="123"/>
      <c r="F1473" s="121"/>
      <c r="G1473" s="123"/>
      <c r="H1473" s="121"/>
      <c r="I1473" s="123"/>
      <c r="J1473" s="121"/>
      <c r="K1473" s="116"/>
      <c r="L1473" s="116"/>
      <c r="M1473" s="117"/>
      <c r="N1473" s="116"/>
      <c r="O1473" s="119"/>
      <c r="P1473" s="120"/>
      <c r="Q1473" s="6"/>
    </row>
    <row r="1474" spans="1:17" s="7" customFormat="1" ht="66" customHeight="1" x14ac:dyDescent="0.25">
      <c r="A1474" s="8"/>
      <c r="B1474" s="116"/>
      <c r="C1474" s="121"/>
      <c r="D1474" s="121"/>
      <c r="E1474" s="121"/>
      <c r="F1474" s="121"/>
      <c r="G1474" s="137"/>
      <c r="H1474" s="121"/>
      <c r="I1474" s="121"/>
      <c r="J1474" s="121"/>
      <c r="K1474" s="116"/>
      <c r="L1474" s="116"/>
      <c r="M1474" s="116"/>
      <c r="N1474" s="116"/>
      <c r="O1474" s="119"/>
      <c r="P1474" s="120"/>
      <c r="Q1474" s="6"/>
    </row>
    <row r="1475" spans="1:17" s="7" customFormat="1" ht="66" customHeight="1" x14ac:dyDescent="0.25">
      <c r="A1475" s="8"/>
      <c r="B1475" s="116"/>
      <c r="C1475" s="117"/>
      <c r="D1475" s="129"/>
      <c r="E1475" s="130"/>
      <c r="F1475" s="129"/>
      <c r="G1475" s="131"/>
      <c r="H1475" s="129"/>
      <c r="I1475" s="132"/>
      <c r="J1475" s="129"/>
      <c r="K1475" s="133"/>
      <c r="L1475" s="134"/>
      <c r="M1475" s="130"/>
      <c r="N1475" s="129"/>
      <c r="O1475" s="135"/>
      <c r="P1475" s="120"/>
      <c r="Q1475" s="6"/>
    </row>
    <row r="1476" spans="1:17" s="7" customFormat="1" ht="66" customHeight="1" x14ac:dyDescent="0.25">
      <c r="A1476" s="8"/>
      <c r="B1476" s="116"/>
      <c r="C1476" s="123"/>
      <c r="D1476" s="123"/>
      <c r="E1476" s="120"/>
      <c r="F1476" s="123"/>
      <c r="G1476" s="120"/>
      <c r="H1476" s="123"/>
      <c r="I1476" s="136"/>
      <c r="J1476" s="123"/>
      <c r="K1476" s="116"/>
      <c r="L1476" s="116"/>
      <c r="M1476" s="116"/>
      <c r="N1476" s="116"/>
      <c r="O1476" s="119"/>
      <c r="P1476" s="120"/>
      <c r="Q1476" s="6"/>
    </row>
    <row r="1477" spans="1:17" s="7" customFormat="1" ht="66" customHeight="1" x14ac:dyDescent="0.25">
      <c r="A1477" s="8"/>
      <c r="B1477" s="116"/>
      <c r="C1477" s="117"/>
      <c r="D1477" s="161"/>
      <c r="E1477" s="161"/>
      <c r="F1477" s="161"/>
      <c r="G1477" s="161"/>
      <c r="H1477" s="161"/>
      <c r="I1477" s="161"/>
      <c r="J1477" s="161"/>
      <c r="K1477" s="161"/>
      <c r="L1477" s="161"/>
      <c r="M1477" s="161"/>
      <c r="N1477" s="161"/>
      <c r="O1477" s="119"/>
      <c r="P1477" s="119"/>
      <c r="Q1477" s="6"/>
    </row>
    <row r="1478" spans="1:17" s="7" customFormat="1" ht="66" customHeight="1" x14ac:dyDescent="0.25">
      <c r="A1478" s="8"/>
      <c r="B1478" s="116"/>
      <c r="C1478" s="123"/>
      <c r="E1478" s="120"/>
      <c r="F1478" s="123"/>
      <c r="G1478" s="120"/>
      <c r="H1478" s="123"/>
      <c r="I1478" s="136"/>
      <c r="J1478" s="123"/>
      <c r="K1478" s="116"/>
      <c r="L1478" s="116"/>
      <c r="M1478" s="116"/>
      <c r="N1478" s="116"/>
      <c r="O1478" s="119"/>
      <c r="P1478" s="120"/>
      <c r="Q1478" s="6"/>
    </row>
    <row r="1479" spans="1:17" s="7" customFormat="1" ht="66" customHeight="1" x14ac:dyDescent="0.25">
      <c r="A1479" s="8"/>
      <c r="B1479" s="116"/>
      <c r="C1479" s="138"/>
      <c r="D1479" s="123"/>
      <c r="E1479" s="150" t="s">
        <v>398</v>
      </c>
      <c r="F1479" s="151"/>
      <c r="G1479" s="151"/>
      <c r="H1479" s="152"/>
      <c r="I1479" s="139"/>
      <c r="J1479" s="150" t="s">
        <v>399</v>
      </c>
      <c r="K1479" s="151"/>
      <c r="L1479" s="151"/>
      <c r="M1479" s="152"/>
      <c r="N1479" s="139"/>
      <c r="O1479" s="139"/>
      <c r="P1479" s="139"/>
      <c r="Q1479" s="6"/>
    </row>
    <row r="1480" spans="1:17" s="7" customFormat="1" ht="66" customHeight="1" x14ac:dyDescent="0.25">
      <c r="A1480" s="8"/>
      <c r="B1480" s="116"/>
      <c r="C1480" s="138"/>
      <c r="D1480" s="138"/>
      <c r="E1480" s="153" t="s">
        <v>400</v>
      </c>
      <c r="F1480" s="154"/>
      <c r="G1480" s="140" t="s">
        <v>401</v>
      </c>
      <c r="H1480" s="140" t="s">
        <v>402</v>
      </c>
      <c r="I1480" s="141"/>
      <c r="J1480" s="153" t="s">
        <v>400</v>
      </c>
      <c r="K1480" s="154"/>
      <c r="L1480" s="140" t="s">
        <v>401</v>
      </c>
      <c r="M1480" s="140" t="s">
        <v>402</v>
      </c>
      <c r="N1480" s="142"/>
      <c r="O1480" s="141"/>
      <c r="P1480" s="141"/>
      <c r="Q1480" s="6"/>
    </row>
    <row r="1481" spans="1:17" s="7" customFormat="1" ht="66" customHeight="1" x14ac:dyDescent="0.25">
      <c r="A1481" s="8"/>
      <c r="B1481" s="116"/>
      <c r="C1481" s="138"/>
      <c r="D1481" s="138"/>
      <c r="E1481" s="155">
        <f>[1]ORÇ_ANALITICO!I10+[1]ORÇ_ANALITICO!I16+[1]ORÇ_ANALITICO!I21+[1]ORÇ_ANALITICO!I25+[1]ORÇ_ANALITICO!I42+[1]ORÇ_ANALITICO!I52+[1]ORÇ_ANALITICO!I57+[1]ORÇ_ANALITICO!I91+[1]ORÇ_ANALITICO!I99+[1]ORÇ_ANALITICO!I105+[1]ORÇ_ANALITICO!I127</f>
        <v>1461838.51</v>
      </c>
      <c r="F1481" s="156"/>
      <c r="G1481" s="143">
        <v>3.49E-2</v>
      </c>
      <c r="H1481" s="144">
        <f>TRUNC(E1481*G1481/100,2)</f>
        <v>510.18</v>
      </c>
      <c r="I1481" s="141"/>
      <c r="J1481" s="155">
        <f>SUM([1]ORÇ_ANALITICO!K10:K128)/2</f>
        <v>1393586.21</v>
      </c>
      <c r="K1481" s="156"/>
      <c r="L1481" s="145">
        <v>3.49E-2</v>
      </c>
      <c r="M1481" s="144">
        <f>TRUNC(J1481*L1481/100,2)</f>
        <v>486.36</v>
      </c>
      <c r="N1481" s="142"/>
      <c r="O1481" s="141"/>
      <c r="P1481" s="141"/>
      <c r="Q1481" s="6"/>
    </row>
    <row r="1482" spans="1:17" s="7" customFormat="1" ht="66" customHeight="1" x14ac:dyDescent="0.25">
      <c r="A1482" s="8"/>
      <c r="B1482" s="116"/>
      <c r="C1482" s="123"/>
      <c r="D1482" s="146"/>
      <c r="E1482" s="141"/>
      <c r="F1482" s="141"/>
      <c r="G1482" s="141"/>
      <c r="H1482" s="142"/>
      <c r="I1482" s="141"/>
      <c r="J1482" s="141"/>
      <c r="K1482" s="141"/>
      <c r="L1482" s="141"/>
      <c r="M1482" s="147"/>
      <c r="N1482" s="142"/>
      <c r="O1482" s="141"/>
      <c r="P1482" s="141"/>
      <c r="Q1482" s="6"/>
    </row>
    <row r="1483" spans="1:17" s="7" customFormat="1" ht="66" customHeight="1" x14ac:dyDescent="0.25">
      <c r="A1483" s="8"/>
      <c r="B1483" s="116"/>
      <c r="C1483" s="123"/>
      <c r="D1483" s="146"/>
      <c r="E1483" s="146"/>
      <c r="F1483" s="146"/>
      <c r="G1483" s="148"/>
      <c r="H1483" s="146"/>
      <c r="I1483" s="141"/>
      <c r="J1483" s="141"/>
      <c r="K1483" s="149"/>
      <c r="L1483" s="149"/>
      <c r="M1483" s="129"/>
      <c r="N1483" s="147"/>
      <c r="O1483" s="141"/>
      <c r="P1483" s="141"/>
      <c r="Q1483" s="6"/>
    </row>
  </sheetData>
  <mergeCells count="156">
    <mergeCell ref="B6:P7"/>
    <mergeCell ref="B8:P8"/>
    <mergeCell ref="D9:N9"/>
    <mergeCell ref="D10:N10"/>
    <mergeCell ref="F13:G13"/>
    <mergeCell ref="D15:N15"/>
    <mergeCell ref="E1:L3"/>
    <mergeCell ref="M3:P3"/>
    <mergeCell ref="C4:D4"/>
    <mergeCell ref="E4:P4"/>
    <mergeCell ref="C5:D5"/>
    <mergeCell ref="E5:P5"/>
    <mergeCell ref="F26:G26"/>
    <mergeCell ref="D30:N30"/>
    <mergeCell ref="F32:G32"/>
    <mergeCell ref="F33:G33"/>
    <mergeCell ref="F34:G34"/>
    <mergeCell ref="D36:N36"/>
    <mergeCell ref="F17:G17"/>
    <mergeCell ref="F18:G18"/>
    <mergeCell ref="F19:G19"/>
    <mergeCell ref="D22:N22"/>
    <mergeCell ref="F24:G24"/>
    <mergeCell ref="F25:G25"/>
    <mergeCell ref="D56:N56"/>
    <mergeCell ref="D61:N61"/>
    <mergeCell ref="B66:P66"/>
    <mergeCell ref="D67:N67"/>
    <mergeCell ref="D72:N72"/>
    <mergeCell ref="D76:N76"/>
    <mergeCell ref="F38:G38"/>
    <mergeCell ref="F39:G39"/>
    <mergeCell ref="F40:G40"/>
    <mergeCell ref="B43:P43"/>
    <mergeCell ref="D44:N44"/>
    <mergeCell ref="D50:N50"/>
    <mergeCell ref="D163:N163"/>
    <mergeCell ref="D198:N198"/>
    <mergeCell ref="D218:N218"/>
    <mergeCell ref="D239:N239"/>
    <mergeCell ref="D252:N252"/>
    <mergeCell ref="D273:N273"/>
    <mergeCell ref="G78:H78"/>
    <mergeCell ref="B82:P82"/>
    <mergeCell ref="D83:N83"/>
    <mergeCell ref="D94:N94"/>
    <mergeCell ref="D108:N108"/>
    <mergeCell ref="D131:N131"/>
    <mergeCell ref="I314:J314"/>
    <mergeCell ref="D316:N316"/>
    <mergeCell ref="D321:N321"/>
    <mergeCell ref="D334:N334"/>
    <mergeCell ref="B359:P359"/>
    <mergeCell ref="D360:N360"/>
    <mergeCell ref="D293:N293"/>
    <mergeCell ref="D299:N299"/>
    <mergeCell ref="D304:N304"/>
    <mergeCell ref="I311:J311"/>
    <mergeCell ref="I312:J312"/>
    <mergeCell ref="I313:J313"/>
    <mergeCell ref="D492:N492"/>
    <mergeCell ref="D512:N512"/>
    <mergeCell ref="B519:P519"/>
    <mergeCell ref="D520:N520"/>
    <mergeCell ref="D553:N553"/>
    <mergeCell ref="D559:N559"/>
    <mergeCell ref="D380:N380"/>
    <mergeCell ref="D414:N414"/>
    <mergeCell ref="D435:N435"/>
    <mergeCell ref="D443:N443"/>
    <mergeCell ref="D450:N450"/>
    <mergeCell ref="D468:N468"/>
    <mergeCell ref="D690:N690"/>
    <mergeCell ref="D703:N703"/>
    <mergeCell ref="D712:N712"/>
    <mergeCell ref="D721:N721"/>
    <mergeCell ref="D734:N734"/>
    <mergeCell ref="D740:N740"/>
    <mergeCell ref="D621:N621"/>
    <mergeCell ref="B627:P627"/>
    <mergeCell ref="D628:N628"/>
    <mergeCell ref="D637:N637"/>
    <mergeCell ref="D650:N650"/>
    <mergeCell ref="D678:N678"/>
    <mergeCell ref="D794:N794"/>
    <mergeCell ref="D799:N799"/>
    <mergeCell ref="D811:N811"/>
    <mergeCell ref="D815:N815"/>
    <mergeCell ref="D819:N819"/>
    <mergeCell ref="D823:N823"/>
    <mergeCell ref="D748:N748"/>
    <mergeCell ref="D754:N754"/>
    <mergeCell ref="D760:N760"/>
    <mergeCell ref="D767:N767"/>
    <mergeCell ref="D774:N774"/>
    <mergeCell ref="D781:N781"/>
    <mergeCell ref="D855:N855"/>
    <mergeCell ref="D860:N860"/>
    <mergeCell ref="D864:N864"/>
    <mergeCell ref="D868:N868"/>
    <mergeCell ref="D872:N872"/>
    <mergeCell ref="B876:P876"/>
    <mergeCell ref="D827:N827"/>
    <mergeCell ref="D831:N831"/>
    <mergeCell ref="D835:N835"/>
    <mergeCell ref="D839:N839"/>
    <mergeCell ref="D843:N843"/>
    <mergeCell ref="D849:N849"/>
    <mergeCell ref="D922:N922"/>
    <mergeCell ref="B926:P926"/>
    <mergeCell ref="D927:N927"/>
    <mergeCell ref="D1078:N1078"/>
    <mergeCell ref="D1088:N1088"/>
    <mergeCell ref="D1101:N1101"/>
    <mergeCell ref="D877:N877"/>
    <mergeCell ref="D883:N883"/>
    <mergeCell ref="D889:N889"/>
    <mergeCell ref="D898:N898"/>
    <mergeCell ref="D907:N907"/>
    <mergeCell ref="D916:N916"/>
    <mergeCell ref="D1294:N1294"/>
    <mergeCell ref="D1303:N1303"/>
    <mergeCell ref="D1316:N1316"/>
    <mergeCell ref="D1329:N1329"/>
    <mergeCell ref="D1338:N1338"/>
    <mergeCell ref="D1344:N1344"/>
    <mergeCell ref="D1196:N1196"/>
    <mergeCell ref="B1215:P1215"/>
    <mergeCell ref="D1216:N1216"/>
    <mergeCell ref="D1250:N1250"/>
    <mergeCell ref="D1259:N1259"/>
    <mergeCell ref="D1283:N1283"/>
    <mergeCell ref="D1405:N1405"/>
    <mergeCell ref="D1414:N1414"/>
    <mergeCell ref="D1424:N1424"/>
    <mergeCell ref="D1434:N1434"/>
    <mergeCell ref="D1442:N1442"/>
    <mergeCell ref="B1450:P1450"/>
    <mergeCell ref="D1353:N1353"/>
    <mergeCell ref="D1359:N1359"/>
    <mergeCell ref="D1368:N1368"/>
    <mergeCell ref="D1378:N1378"/>
    <mergeCell ref="D1388:N1388"/>
    <mergeCell ref="D1396:N1396"/>
    <mergeCell ref="E1479:H1479"/>
    <mergeCell ref="J1479:M1479"/>
    <mergeCell ref="E1480:F1480"/>
    <mergeCell ref="J1480:K1480"/>
    <mergeCell ref="E1481:F1481"/>
    <mergeCell ref="J1481:K1481"/>
    <mergeCell ref="D1451:N1451"/>
    <mergeCell ref="B1458:P1458"/>
    <mergeCell ref="D1459:N1459"/>
    <mergeCell ref="D1465:N1465"/>
    <mergeCell ref="D1471:N1471"/>
    <mergeCell ref="D1477:N147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</dc:creator>
  <cp:lastModifiedBy>VITOR</cp:lastModifiedBy>
  <dcterms:created xsi:type="dcterms:W3CDTF">2015-06-05T18:19:34Z</dcterms:created>
  <dcterms:modified xsi:type="dcterms:W3CDTF">2025-08-05T15:09:35Z</dcterms:modified>
</cp:coreProperties>
</file>