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VITOR\Downloads\"/>
    </mc:Choice>
  </mc:AlternateContent>
  <xr:revisionPtr revIDLastSave="0" documentId="13_ncr:1_{75067645-BFA6-4F73-A483-B8D2E7D080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1" l="1"/>
  <c r="L35" i="1"/>
  <c r="N34" i="1"/>
  <c r="L32" i="1"/>
  <c r="J32" i="1"/>
  <c r="J33" i="1" s="1"/>
  <c r="I32" i="1"/>
  <c r="I33" i="1" s="1"/>
  <c r="H32" i="1"/>
  <c r="H33" i="1" s="1"/>
  <c r="G32" i="1"/>
  <c r="G33" i="1" s="1"/>
  <c r="F32" i="1"/>
  <c r="F33" i="1" s="1"/>
  <c r="E32" i="1"/>
  <c r="E33" i="1" s="1"/>
  <c r="D32" i="1"/>
  <c r="D33" i="1" s="1"/>
  <c r="C32" i="1"/>
  <c r="B32" i="1"/>
  <c r="L30" i="1"/>
  <c r="D30" i="1"/>
  <c r="D31" i="1" s="1"/>
  <c r="C30" i="1"/>
  <c r="B30" i="1"/>
  <c r="J29" i="1"/>
  <c r="I29" i="1"/>
  <c r="H29" i="1"/>
  <c r="K29" i="1" s="1"/>
  <c r="L28" i="1"/>
  <c r="J28" i="1"/>
  <c r="I28" i="1"/>
  <c r="H28" i="1"/>
  <c r="K28" i="1" s="1"/>
  <c r="B28" i="1"/>
  <c r="G27" i="1"/>
  <c r="K27" i="1" s="1"/>
  <c r="L26" i="1"/>
  <c r="J26" i="1"/>
  <c r="J27" i="1" s="1"/>
  <c r="I26" i="1"/>
  <c r="I27" i="1" s="1"/>
  <c r="H26" i="1"/>
  <c r="H27" i="1" s="1"/>
  <c r="G26" i="1"/>
  <c r="K26" i="1" s="1"/>
  <c r="M26" i="1" s="1"/>
  <c r="B26" i="1"/>
  <c r="F25" i="1"/>
  <c r="E25" i="1"/>
  <c r="D25" i="1"/>
  <c r="K25" i="1" s="1"/>
  <c r="L24" i="1"/>
  <c r="F24" i="1"/>
  <c r="E24" i="1"/>
  <c r="D24" i="1"/>
  <c r="K24" i="1" s="1"/>
  <c r="B24" i="1"/>
  <c r="L22" i="1"/>
  <c r="G23" i="1" s="1"/>
  <c r="J22" i="1"/>
  <c r="J23" i="1" s="1"/>
  <c r="I22" i="1"/>
  <c r="I23" i="1" s="1"/>
  <c r="H22" i="1"/>
  <c r="H23" i="1" s="1"/>
  <c r="G22" i="1"/>
  <c r="B22" i="1"/>
  <c r="I21" i="1"/>
  <c r="H21" i="1"/>
  <c r="G21" i="1"/>
  <c r="L20" i="1"/>
  <c r="I20" i="1"/>
  <c r="H20" i="1"/>
  <c r="G20" i="1"/>
  <c r="F20" i="1"/>
  <c r="F21" i="1" s="1"/>
  <c r="E20" i="1"/>
  <c r="E21" i="1" s="1"/>
  <c r="K21" i="1" s="1"/>
  <c r="B20" i="1"/>
  <c r="L18" i="1"/>
  <c r="E19" i="1" s="1"/>
  <c r="H18" i="1"/>
  <c r="H19" i="1" s="1"/>
  <c r="G18" i="1"/>
  <c r="G19" i="1" s="1"/>
  <c r="F18" i="1"/>
  <c r="F19" i="1" s="1"/>
  <c r="E18" i="1"/>
  <c r="B18" i="1"/>
  <c r="L16" i="1"/>
  <c r="J16" i="1"/>
  <c r="J17" i="1" s="1"/>
  <c r="I16" i="1"/>
  <c r="I17" i="1" s="1"/>
  <c r="H16" i="1"/>
  <c r="H17" i="1" s="1"/>
  <c r="G16" i="1"/>
  <c r="G17" i="1" s="1"/>
  <c r="F16" i="1"/>
  <c r="F17" i="1" s="1"/>
  <c r="E16" i="1"/>
  <c r="E17" i="1" s="1"/>
  <c r="D16" i="1"/>
  <c r="D17" i="1" s="1"/>
  <c r="C16" i="1"/>
  <c r="C17" i="1" s="1"/>
  <c r="B16" i="1"/>
  <c r="L14" i="1"/>
  <c r="D14" i="1"/>
  <c r="D15" i="1" s="1"/>
  <c r="C14" i="1"/>
  <c r="B14" i="1"/>
  <c r="L12" i="1"/>
  <c r="D12" i="1"/>
  <c r="D13" i="1" s="1"/>
  <c r="C12" i="1"/>
  <c r="B12" i="1"/>
  <c r="L10" i="1"/>
  <c r="L34" i="1" s="1"/>
  <c r="J10" i="1"/>
  <c r="D10" i="1"/>
  <c r="D11" i="1" s="1"/>
  <c r="C10" i="1"/>
  <c r="B10" i="1"/>
  <c r="B4" i="1"/>
  <c r="B2" i="1"/>
  <c r="K23" i="1" l="1"/>
  <c r="L38" i="1"/>
  <c r="K19" i="1"/>
  <c r="C15" i="1"/>
  <c r="K18" i="1"/>
  <c r="M18" i="1" s="1"/>
  <c r="K22" i="1"/>
  <c r="M22" i="1" s="1"/>
  <c r="K10" i="1"/>
  <c r="M10" i="1" s="1"/>
  <c r="M28" i="1"/>
  <c r="C11" i="1"/>
  <c r="K32" i="1"/>
  <c r="M32" i="1" s="1"/>
  <c r="J11" i="1"/>
  <c r="C34" i="1"/>
  <c r="C13" i="1"/>
  <c r="K17" i="1"/>
  <c r="M24" i="1"/>
  <c r="C31" i="1"/>
  <c r="D34" i="1"/>
  <c r="E14" i="1"/>
  <c r="E12" i="1"/>
  <c r="E30" i="1"/>
  <c r="M20" i="1"/>
  <c r="K16" i="1"/>
  <c r="M16" i="1"/>
  <c r="C33" i="1"/>
  <c r="K33" i="1" s="1"/>
  <c r="K20" i="1"/>
  <c r="C35" i="1" l="1"/>
  <c r="K11" i="1"/>
  <c r="E31" i="1"/>
  <c r="F30" i="1"/>
  <c r="D35" i="1"/>
  <c r="D37" i="1" s="1"/>
  <c r="E13" i="1"/>
  <c r="F12" i="1"/>
  <c r="E34" i="1"/>
  <c r="E15" i="1"/>
  <c r="F14" i="1"/>
  <c r="C37" i="1" l="1"/>
  <c r="F15" i="1"/>
  <c r="G14" i="1"/>
  <c r="E35" i="1"/>
  <c r="G12" i="1"/>
  <c r="F13" i="1"/>
  <c r="F34" i="1"/>
  <c r="F31" i="1"/>
  <c r="G30" i="1"/>
  <c r="G31" i="1" l="1"/>
  <c r="H30" i="1"/>
  <c r="F35" i="1"/>
  <c r="F37" i="1"/>
  <c r="H12" i="1"/>
  <c r="G13" i="1"/>
  <c r="G34" i="1"/>
  <c r="E37" i="1"/>
  <c r="G15" i="1"/>
  <c r="H14" i="1"/>
  <c r="C40" i="1"/>
  <c r="D40" i="1" s="1"/>
  <c r="E40" i="1" s="1"/>
  <c r="F40" i="1" s="1"/>
  <c r="H15" i="1" l="1"/>
  <c r="I14" i="1"/>
  <c r="G35" i="1"/>
  <c r="G37" i="1"/>
  <c r="G40" i="1" s="1"/>
  <c r="I12" i="1"/>
  <c r="H13" i="1"/>
  <c r="H34" i="1"/>
  <c r="H31" i="1"/>
  <c r="I30" i="1"/>
  <c r="I31" i="1" l="1"/>
  <c r="J30" i="1"/>
  <c r="J31" i="1" s="1"/>
  <c r="K30" i="1"/>
  <c r="M30" i="1" s="1"/>
  <c r="K31" i="1"/>
  <c r="H35" i="1"/>
  <c r="H37" i="1"/>
  <c r="J12" i="1"/>
  <c r="I13" i="1"/>
  <c r="I34" i="1"/>
  <c r="J14" i="1"/>
  <c r="J15" i="1" s="1"/>
  <c r="I15" i="1"/>
  <c r="K14" i="1"/>
  <c r="M14" i="1" s="1"/>
  <c r="I35" i="1" l="1"/>
  <c r="I37" i="1"/>
  <c r="J13" i="1"/>
  <c r="K13" i="1" s="1"/>
  <c r="J34" i="1"/>
  <c r="H40" i="1"/>
  <c r="I40" i="1" s="1"/>
  <c r="K12" i="1"/>
  <c r="M12" i="1" s="1"/>
  <c r="K15" i="1"/>
  <c r="J35" i="1" l="1"/>
  <c r="K35" i="1" s="1"/>
  <c r="M35" i="1" s="1"/>
  <c r="J37" i="1"/>
  <c r="K34" i="1"/>
  <c r="M34" i="1" s="1"/>
  <c r="K37" i="1" l="1"/>
  <c r="J40" i="1"/>
  <c r="L40" i="1" l="1"/>
  <c r="M37" i="1"/>
  <c r="D38" i="1"/>
  <c r="C38" i="1"/>
  <c r="E38" i="1"/>
  <c r="F38" i="1"/>
  <c r="G38" i="1"/>
  <c r="H38" i="1"/>
  <c r="I38" i="1"/>
  <c r="J38" i="1"/>
  <c r="K38" i="1" l="1"/>
  <c r="C41" i="1"/>
  <c r="D41" i="1" s="1"/>
  <c r="E41" i="1" s="1"/>
  <c r="F41" i="1" s="1"/>
  <c r="G41" i="1" s="1"/>
  <c r="H41" i="1" s="1"/>
  <c r="I41" i="1" s="1"/>
  <c r="J41" i="1" s="1"/>
  <c r="K41" i="1" s="1"/>
</calcChain>
</file>

<file path=xl/sharedStrings.xml><?xml version="1.0" encoding="utf-8"?>
<sst xmlns="http://schemas.openxmlformats.org/spreadsheetml/2006/main" count="30" uniqueCount="30">
  <si>
    <t xml:space="preserve">Governo do Estado do Rio de Janeiro
Secretaria de Estado de Infraestrutura e Obras Públicas 
</t>
  </si>
  <si>
    <t xml:space="preserve"> PREFEITURA MUNICIPAL DE RIO DAS FLÔRES</t>
  </si>
  <si>
    <t>Natureza:</t>
  </si>
  <si>
    <t>Localização:</t>
  </si>
  <si>
    <t>CRONOGRAMA FÍSICO - FINANCEIRO</t>
  </si>
  <si>
    <t>ITEM</t>
  </si>
  <si>
    <t>SERVIÇOS</t>
  </si>
  <si>
    <t>1º ETAPA</t>
  </si>
  <si>
    <t>2º ETAPA</t>
  </si>
  <si>
    <t>3º ETAPA</t>
  </si>
  <si>
    <t>4º ETAPA</t>
  </si>
  <si>
    <t>5º ETAPA</t>
  </si>
  <si>
    <t>6º ETAPA</t>
  </si>
  <si>
    <t>7º ETAPA</t>
  </si>
  <si>
    <t>8º ETAPA</t>
  </si>
  <si>
    <t>TOTAL</t>
  </si>
  <si>
    <t>30 dias</t>
  </si>
  <si>
    <t>60 dias</t>
  </si>
  <si>
    <t>90 dias</t>
  </si>
  <si>
    <t>120 dias</t>
  </si>
  <si>
    <t>150 dias</t>
  </si>
  <si>
    <t>180 dias</t>
  </si>
  <si>
    <t>210 dias</t>
  </si>
  <si>
    <t>240 dias</t>
  </si>
  <si>
    <t>SUBTOTAL (1)</t>
  </si>
  <si>
    <t>BDI = 22% (2)</t>
  </si>
  <si>
    <t>DESEMBOLSO SIMPLES DAS ETAPAS</t>
  </si>
  <si>
    <t>PERCENTUAL SIMPLES DAS ETAPAS</t>
  </si>
  <si>
    <t>DESEMBOLSO ACUMULADO DAS ETAPAS - R$</t>
  </si>
  <si>
    <t>PERCENTUAL ACUMULADO DAS ETAPAS -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</si>
</sst>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\ &quot;DIAS&quot;"/>
    <numFmt numFmtId="165" formatCode="_(&quot;R$ &quot;* #,##0.00_);_(&quot;R$ &quot;* \(#,##0.00\);_(&quot;R$ 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65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8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7" fontId="3" fillId="0" borderId="0" xfId="0" applyNumberFormat="1" applyFont="1"/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17" fontId="2" fillId="0" borderId="15" xfId="0" applyNumberFormat="1" applyFont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3" borderId="1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 wrapText="1"/>
    </xf>
    <xf numFmtId="0" fontId="3" fillId="5" borderId="0" xfId="0" applyFont="1" applyFill="1"/>
    <xf numFmtId="0" fontId="4" fillId="4" borderId="19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/>
    </xf>
    <xf numFmtId="4" fontId="4" fillId="7" borderId="20" xfId="3" applyNumberFormat="1" applyFont="1" applyFill="1" applyBorder="1" applyAlignment="1">
      <alignment horizontal="left" vertical="center" wrapText="1"/>
    </xf>
    <xf numFmtId="44" fontId="6" fillId="7" borderId="1" xfId="1" applyFont="1" applyFill="1" applyBorder="1" applyAlignment="1">
      <alignment horizontal="center" vertical="center"/>
    </xf>
    <xf numFmtId="165" fontId="6" fillId="7" borderId="1" xfId="4" applyFont="1" applyFill="1" applyBorder="1" applyAlignment="1">
      <alignment horizontal="center" vertical="center"/>
    </xf>
    <xf numFmtId="165" fontId="6" fillId="7" borderId="2" xfId="4" applyFont="1" applyFill="1" applyBorder="1" applyAlignment="1">
      <alignment horizontal="center" vertical="center"/>
    </xf>
    <xf numFmtId="165" fontId="4" fillId="7" borderId="21" xfId="4" applyFont="1" applyFill="1" applyBorder="1" applyAlignment="1">
      <alignment horizontal="center" vertical="center"/>
    </xf>
    <xf numFmtId="165" fontId="3" fillId="5" borderId="0" xfId="0" applyNumberFormat="1" applyFont="1" applyFill="1"/>
    <xf numFmtId="0" fontId="4" fillId="6" borderId="9" xfId="0" applyFont="1" applyFill="1" applyBorder="1" applyAlignment="1">
      <alignment horizontal="center" vertical="center"/>
    </xf>
    <xf numFmtId="0" fontId="4" fillId="7" borderId="22" xfId="3" applyFont="1" applyFill="1" applyBorder="1" applyAlignment="1">
      <alignment horizontal="left" vertical="center" wrapText="1"/>
    </xf>
    <xf numFmtId="10" fontId="6" fillId="7" borderId="1" xfId="3" applyNumberFormat="1" applyFont="1" applyFill="1" applyBorder="1" applyAlignment="1">
      <alignment horizontal="center" vertical="center"/>
    </xf>
    <xf numFmtId="10" fontId="6" fillId="7" borderId="2" xfId="3" applyNumberFormat="1" applyFont="1" applyFill="1" applyBorder="1" applyAlignment="1">
      <alignment horizontal="center" vertical="center"/>
    </xf>
    <xf numFmtId="10" fontId="4" fillId="7" borderId="21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4" fontId="4" fillId="9" borderId="20" xfId="3" applyNumberFormat="1" applyFont="1" applyFill="1" applyBorder="1" applyAlignment="1">
      <alignment horizontal="left" vertical="center" wrapText="1"/>
    </xf>
    <xf numFmtId="165" fontId="6" fillId="9" borderId="1" xfId="4" applyFont="1" applyFill="1" applyBorder="1" applyAlignment="1">
      <alignment horizontal="center" vertical="center"/>
    </xf>
    <xf numFmtId="165" fontId="4" fillId="9" borderId="21" xfId="4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9" borderId="22" xfId="3" applyFont="1" applyFill="1" applyBorder="1" applyAlignment="1">
      <alignment horizontal="left" vertical="center" wrapText="1"/>
    </xf>
    <xf numFmtId="10" fontId="6" fillId="9" borderId="1" xfId="3" applyNumberFormat="1" applyFont="1" applyFill="1" applyBorder="1" applyAlignment="1">
      <alignment horizontal="center" vertical="center"/>
    </xf>
    <xf numFmtId="10" fontId="4" fillId="9" borderId="21" xfId="0" applyNumberFormat="1" applyFont="1" applyFill="1" applyBorder="1" applyAlignment="1">
      <alignment horizontal="center" vertical="center"/>
    </xf>
    <xf numFmtId="4" fontId="4" fillId="7" borderId="22" xfId="3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4" fontId="4" fillId="9" borderId="8" xfId="3" applyNumberFormat="1" applyFont="1" applyFill="1" applyBorder="1" applyAlignment="1">
      <alignment horizontal="left" vertical="center" wrapText="1"/>
    </xf>
    <xf numFmtId="44" fontId="6" fillId="9" borderId="1" xfId="3" applyNumberFormat="1" applyFont="1" applyFill="1" applyBorder="1" applyAlignment="1">
      <alignment horizontal="center" vertical="center"/>
    </xf>
    <xf numFmtId="44" fontId="6" fillId="9" borderId="2" xfId="3" applyNumberFormat="1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horizontal="center" vertical="center"/>
    </xf>
    <xf numFmtId="0" fontId="4" fillId="9" borderId="12" xfId="3" applyFont="1" applyFill="1" applyBorder="1" applyAlignment="1">
      <alignment horizontal="left" vertical="center" wrapText="1"/>
    </xf>
    <xf numFmtId="10" fontId="6" fillId="9" borderId="2" xfId="3" applyNumberFormat="1" applyFont="1" applyFill="1" applyBorder="1" applyAlignment="1">
      <alignment horizontal="center" vertical="center"/>
    </xf>
    <xf numFmtId="4" fontId="4" fillId="7" borderId="8" xfId="3" applyNumberFormat="1" applyFont="1" applyFill="1" applyBorder="1" applyAlignment="1">
      <alignment horizontal="left" vertical="center" wrapText="1"/>
    </xf>
    <xf numFmtId="44" fontId="6" fillId="7" borderId="1" xfId="3" applyNumberFormat="1" applyFont="1" applyFill="1" applyBorder="1" applyAlignment="1">
      <alignment horizontal="center" vertical="center"/>
    </xf>
    <xf numFmtId="44" fontId="6" fillId="7" borderId="2" xfId="3" applyNumberFormat="1" applyFont="1" applyFill="1" applyBorder="1" applyAlignment="1">
      <alignment horizontal="center" vertical="center"/>
    </xf>
    <xf numFmtId="0" fontId="4" fillId="7" borderId="12" xfId="3" applyFont="1" applyFill="1" applyBorder="1" applyAlignment="1">
      <alignment horizontal="left" vertical="center" wrapText="1"/>
    </xf>
    <xf numFmtId="44" fontId="6" fillId="9" borderId="1" xfId="1" applyFont="1" applyFill="1" applyBorder="1" applyAlignment="1">
      <alignment horizontal="center" vertical="center"/>
    </xf>
    <xf numFmtId="44" fontId="6" fillId="9" borderId="2" xfId="1" applyFont="1" applyFill="1" applyBorder="1" applyAlignment="1">
      <alignment horizontal="center" vertical="center"/>
    </xf>
    <xf numFmtId="44" fontId="3" fillId="5" borderId="0" xfId="0" applyNumberFormat="1" applyFont="1" applyFill="1"/>
    <xf numFmtId="0" fontId="6" fillId="0" borderId="1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65" fontId="6" fillId="0" borderId="1" xfId="4" applyFont="1" applyFill="1" applyBorder="1" applyAlignment="1">
      <alignment horizontal="center" vertical="center"/>
    </xf>
    <xf numFmtId="165" fontId="4" fillId="0" borderId="21" xfId="4" applyFont="1" applyFill="1" applyBorder="1" applyAlignment="1">
      <alignment horizontal="center" vertical="center"/>
    </xf>
    <xf numFmtId="43" fontId="3" fillId="5" borderId="0" xfId="0" applyNumberFormat="1" applyFont="1" applyFill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5" fontId="6" fillId="0" borderId="2" xfId="4" applyFont="1" applyFill="1" applyBorder="1" applyAlignment="1">
      <alignment horizontal="center" vertical="center"/>
    </xf>
    <xf numFmtId="165" fontId="4" fillId="5" borderId="21" xfId="4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10" fontId="6" fillId="5" borderId="1" xfId="3" applyNumberFormat="1" applyFont="1" applyFill="1" applyBorder="1" applyAlignment="1">
      <alignment horizontal="center" vertical="center"/>
    </xf>
    <xf numFmtId="9" fontId="4" fillId="5" borderId="21" xfId="2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5" fontId="6" fillId="0" borderId="21" xfId="4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165" fontId="6" fillId="0" borderId="1" xfId="5" applyNumberFormat="1" applyFont="1" applyFill="1" applyBorder="1" applyAlignment="1">
      <alignment horizontal="center" vertical="center"/>
    </xf>
    <xf numFmtId="165" fontId="6" fillId="0" borderId="21" xfId="5" applyNumberFormat="1" applyFont="1" applyFill="1" applyBorder="1" applyAlignment="1">
      <alignment horizontal="center" vertical="center"/>
    </xf>
    <xf numFmtId="2" fontId="3" fillId="5" borderId="0" xfId="0" applyNumberFormat="1" applyFont="1" applyFill="1"/>
    <xf numFmtId="0" fontId="6" fillId="5" borderId="25" xfId="0" applyFont="1" applyFill="1" applyBorder="1" applyAlignment="1">
      <alignment horizontal="left" vertical="center"/>
    </xf>
    <xf numFmtId="0" fontId="6" fillId="5" borderId="26" xfId="0" applyFont="1" applyFill="1" applyBorder="1" applyAlignment="1">
      <alignment horizontal="left" vertical="center"/>
    </xf>
    <xf numFmtId="10" fontId="6" fillId="0" borderId="27" xfId="5" applyNumberFormat="1" applyFont="1" applyFill="1" applyBorder="1" applyAlignment="1">
      <alignment horizontal="center" vertical="center"/>
    </xf>
    <xf numFmtId="9" fontId="6" fillId="0" borderId="28" xfId="5" applyFont="1" applyFill="1" applyBorder="1" applyAlignment="1">
      <alignment horizontal="center" vertical="center"/>
    </xf>
    <xf numFmtId="10" fontId="3" fillId="5" borderId="0" xfId="0" applyNumberFormat="1" applyFont="1" applyFill="1"/>
  </cellXfs>
  <cellStyles count="6">
    <cellStyle name="Moeda" xfId="1" builtinId="4"/>
    <cellStyle name="Moeda 2 2" xfId="4" xr:uid="{6F840147-75BB-4141-B6FF-23F2C6392929}"/>
    <cellStyle name="Normal" xfId="0" builtinId="0"/>
    <cellStyle name="Normal 3 3" xfId="3" xr:uid="{4ABEC6B4-E57F-4881-A0EB-1747FE7F2925}"/>
    <cellStyle name="Porcentagem" xfId="2" builtinId="5"/>
    <cellStyle name="Porcentagem 2 2" xfId="5" xr:uid="{26FDCF73-088A-4D67-BD3E-61915EDA51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109538</xdr:colOff>
      <xdr:row>0</xdr:row>
      <xdr:rowOff>126206</xdr:rowOff>
    </xdr:from>
    <xdr:to>
      <xdr:col>0</xdr:col>
      <xdr:colOff>862013</xdr:colOff>
      <xdr:row>0</xdr:row>
      <xdr:rowOff>850106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036D0F-91FB-468E-8B2D-F2C08AADA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8" y="126206"/>
          <a:ext cx="7524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209550</xdr:colOff>
      <xdr:row>0</xdr:row>
      <xdr:rowOff>9525</xdr:rowOff>
    </xdr:from>
    <xdr:to>
      <xdr:col>9</xdr:col>
      <xdr:colOff>857250</xdr:colOff>
      <xdr:row>3</xdr:row>
      <xdr:rowOff>47625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D8506D6-9F3E-4BFA-AC70-3EB804DDD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2525" y="952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TOR/Desktop/Or&#231;amento%20i0%2006.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I"/>
      <sheetName val="Planilha1"/>
      <sheetName val="RESUMO"/>
      <sheetName val="ORÇ_ANALITICO"/>
      <sheetName val="ITENS DE MOBILIZAÇÃO"/>
      <sheetName val="MEMORIA"/>
      <sheetName val="ENCARGOS"/>
      <sheetName val="M.O.D_Alim_Transp"/>
      <sheetName val="CRONOGRAMA FISICO-FINANCEIRO"/>
      <sheetName val="ABC GRAFICO"/>
      <sheetName val="APOIO ABC"/>
      <sheetName val="TEXTOS"/>
      <sheetName val="I0 06.25"/>
      <sheetName val="ELEM0625"/>
      <sheetName val="APOIO ALIM E TRANSP."/>
      <sheetName val="ABC"/>
      <sheetName val="EMOP 04-23"/>
      <sheetName val="SINAPI_MAT 05-22(SEM-DES)"/>
      <sheetName val="SINAPI_MAT 05-22(COM-DES)"/>
      <sheetName val="SINAPI_SINT 04-24(SEM-DES)"/>
      <sheetName val="SINAPI_SINT 04-23(COM-DES)"/>
    </sheetNames>
    <sheetDataSet>
      <sheetData sheetId="0">
        <row r="70">
          <cell r="E70">
            <v>0.22389999999999999</v>
          </cell>
        </row>
      </sheetData>
      <sheetData sheetId="1"/>
      <sheetData sheetId="2">
        <row r="8">
          <cell r="B8" t="e">
            <v>#REF!</v>
          </cell>
          <cell r="E8">
            <v>197006.69</v>
          </cell>
        </row>
        <row r="9">
          <cell r="B9" t="e">
            <v>#REF!</v>
          </cell>
          <cell r="E9">
            <v>29726.949999999997</v>
          </cell>
        </row>
        <row r="10">
          <cell r="B10" t="e">
            <v>#REF!</v>
          </cell>
          <cell r="E10">
            <v>4225.1399999999994</v>
          </cell>
        </row>
        <row r="11">
          <cell r="B11" t="e">
            <v>#REF!</v>
          </cell>
          <cell r="E11">
            <v>174444.45000000004</v>
          </cell>
        </row>
        <row r="12">
          <cell r="B12" t="e">
            <v>#REF!</v>
          </cell>
          <cell r="E12">
            <v>187974.99999999994</v>
          </cell>
        </row>
        <row r="13">
          <cell r="B13" t="e">
            <v>#REF!</v>
          </cell>
          <cell r="E13">
            <v>195118.53</v>
          </cell>
        </row>
        <row r="14">
          <cell r="B14" t="e">
            <v>#REF!</v>
          </cell>
          <cell r="E14">
            <v>37157.81</v>
          </cell>
        </row>
        <row r="15">
          <cell r="B15" t="e">
            <v>#REF!</v>
          </cell>
          <cell r="E15">
            <v>135466.79999999999</v>
          </cell>
        </row>
        <row r="16">
          <cell r="B16" t="e">
            <v>#REF!</v>
          </cell>
          <cell r="E16">
            <v>266010.75</v>
          </cell>
        </row>
        <row r="17">
          <cell r="B17" t="e">
            <v>#REF!</v>
          </cell>
          <cell r="E17">
            <v>95881.930000000008</v>
          </cell>
        </row>
        <row r="18">
          <cell r="B18" t="e">
            <v>#REF!</v>
          </cell>
          <cell r="E18">
            <v>70572.160000000003</v>
          </cell>
        </row>
        <row r="19">
          <cell r="B19" t="e">
            <v>#REF!</v>
          </cell>
          <cell r="E19">
            <v>48636</v>
          </cell>
        </row>
      </sheetData>
      <sheetData sheetId="3">
        <row r="4">
          <cell r="C4" t="str">
            <v>REFORMA DA CASA DE CULTURA (ANTIGO FÓRUM)</v>
          </cell>
        </row>
        <row r="6">
          <cell r="C6" t="str">
            <v>RUA DR. LEONI RAMOS, N°11 CENTRO 1º DISTRITO – RIO DAS FLÔRES, RJ</v>
          </cell>
        </row>
        <row r="11">
          <cell r="K11">
            <v>1875.07</v>
          </cell>
        </row>
        <row r="12">
          <cell r="K12">
            <v>15874.07</v>
          </cell>
        </row>
        <row r="13">
          <cell r="K13">
            <v>7969.47</v>
          </cell>
        </row>
        <row r="14">
          <cell r="K14">
            <v>97043.08</v>
          </cell>
        </row>
        <row r="15">
          <cell r="K15">
            <v>74245</v>
          </cell>
        </row>
        <row r="17">
          <cell r="K17">
            <v>2389.04</v>
          </cell>
        </row>
        <row r="18">
          <cell r="K18">
            <v>12065.76</v>
          </cell>
        </row>
        <row r="19">
          <cell r="K19">
            <v>10400</v>
          </cell>
        </row>
        <row r="20">
          <cell r="K20">
            <v>4872.1499999999996</v>
          </cell>
        </row>
        <row r="22">
          <cell r="K22">
            <v>1823.4</v>
          </cell>
        </row>
        <row r="23">
          <cell r="K23">
            <v>595.64</v>
          </cell>
        </row>
        <row r="24">
          <cell r="K24">
            <v>1806.1</v>
          </cell>
        </row>
        <row r="25">
          <cell r="K25">
            <v>174444.45000000004</v>
          </cell>
        </row>
        <row r="42">
          <cell r="K42">
            <v>187974.99999999994</v>
          </cell>
        </row>
        <row r="52">
          <cell r="K52">
            <v>195118.53</v>
          </cell>
        </row>
        <row r="57">
          <cell r="K57">
            <v>37157.81</v>
          </cell>
        </row>
        <row r="91">
          <cell r="K91">
            <v>135466.79999999999</v>
          </cell>
        </row>
        <row r="99">
          <cell r="K99">
            <v>266010.75</v>
          </cell>
        </row>
        <row r="105">
          <cell r="K105">
            <v>95881.930000000008</v>
          </cell>
        </row>
        <row r="127">
          <cell r="K127">
            <v>70572.160000000003</v>
          </cell>
        </row>
        <row r="129">
          <cell r="K129">
            <v>48636</v>
          </cell>
        </row>
        <row r="131">
          <cell r="K131">
            <v>1442222.21</v>
          </cell>
        </row>
        <row r="135">
          <cell r="K135">
            <v>322913.55</v>
          </cell>
        </row>
        <row r="136">
          <cell r="K136">
            <v>1765135.76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workbookViewId="0">
      <selection activeCell="B10" sqref="B10:B11"/>
    </sheetView>
  </sheetViews>
  <sheetFormatPr defaultRowHeight="15" x14ac:dyDescent="0.25"/>
  <cols>
    <col min="1" max="1" width="38.5703125" customWidth="1"/>
    <col min="2" max="2" width="37.5703125" customWidth="1"/>
    <col min="3" max="3" width="29.28515625" customWidth="1"/>
    <col min="4" max="4" width="26.5703125" customWidth="1"/>
    <col min="5" max="5" width="25.28515625" customWidth="1"/>
    <col min="6" max="6" width="25" customWidth="1"/>
    <col min="7" max="7" width="34.140625" customWidth="1"/>
    <col min="8" max="8" width="35.42578125" customWidth="1"/>
    <col min="9" max="9" width="44.85546875" customWidth="1"/>
    <col min="10" max="10" width="63.140625" customWidth="1"/>
    <col min="11" max="11" width="90.140625" customWidth="1"/>
    <col min="12" max="12" width="24.5703125" customWidth="1"/>
    <col min="13" max="13" width="21" customWidth="1"/>
    <col min="14" max="14" width="21.5703125" customWidth="1"/>
  </cols>
  <sheetData>
    <row r="1" spans="1:13" s="8" customFormat="1" ht="69.75" customHeight="1" x14ac:dyDescent="0.25">
      <c r="A1" s="1"/>
      <c r="B1" s="2" t="s">
        <v>0</v>
      </c>
      <c r="C1" s="3"/>
      <c r="D1" s="3"/>
      <c r="E1" s="3"/>
      <c r="F1" s="3"/>
      <c r="G1" s="3"/>
      <c r="H1" s="4"/>
      <c r="I1" s="5" t="s">
        <v>1</v>
      </c>
      <c r="J1" s="6"/>
      <c r="K1" s="7"/>
    </row>
    <row r="2" spans="1:13" s="8" customFormat="1" ht="12" customHeight="1" x14ac:dyDescent="0.2">
      <c r="A2" s="9" t="s">
        <v>2</v>
      </c>
      <c r="B2" s="10" t="str">
        <f>[1]ORÇ_ANALITICO!C4</f>
        <v>REFORMA DA CASA DE CULTURA (ANTIGO FÓRUM)</v>
      </c>
      <c r="C2" s="11"/>
      <c r="D2" s="11"/>
      <c r="E2" s="11"/>
      <c r="F2" s="11"/>
      <c r="G2" s="11"/>
      <c r="H2" s="11"/>
      <c r="I2" s="11"/>
      <c r="J2" s="11"/>
      <c r="K2" s="12"/>
      <c r="L2" s="13"/>
    </row>
    <row r="3" spans="1:13" s="8" customFormat="1" ht="12" customHeight="1" x14ac:dyDescent="0.2">
      <c r="A3" s="14"/>
      <c r="B3" s="15"/>
      <c r="C3" s="16"/>
      <c r="D3" s="16"/>
      <c r="E3" s="16"/>
      <c r="F3" s="16"/>
      <c r="G3" s="16"/>
      <c r="H3" s="16"/>
      <c r="I3" s="16"/>
      <c r="J3" s="16"/>
      <c r="K3" s="17"/>
    </row>
    <row r="4" spans="1:13" s="8" customFormat="1" ht="19.5" customHeight="1" x14ac:dyDescent="0.2">
      <c r="A4" s="18" t="s">
        <v>3</v>
      </c>
      <c r="B4" s="19" t="str">
        <f>[1]ORÇ_ANALITICO!C6</f>
        <v>RUA DR. LEONI RAMOS, N°11 CENTRO 1º DISTRITO – RIO DAS FLÔRES, RJ</v>
      </c>
      <c r="C4" s="20"/>
      <c r="D4" s="20"/>
      <c r="E4" s="20"/>
      <c r="F4" s="20"/>
      <c r="G4" s="20"/>
      <c r="H4" s="20"/>
      <c r="I4" s="20"/>
      <c r="J4" s="20"/>
      <c r="K4" s="21"/>
    </row>
    <row r="5" spans="1:13" s="8" customFormat="1" ht="8.25" customHeight="1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4"/>
    </row>
    <row r="6" spans="1:13" s="28" customFormat="1" x14ac:dyDescent="0.25">
      <c r="A6" s="25" t="s">
        <v>4</v>
      </c>
      <c r="B6" s="26"/>
      <c r="C6" s="26"/>
      <c r="D6" s="26"/>
      <c r="E6" s="26"/>
      <c r="F6" s="26"/>
      <c r="G6" s="26"/>
      <c r="H6" s="26"/>
      <c r="I6" s="26"/>
      <c r="J6" s="26"/>
      <c r="K6" s="27"/>
    </row>
    <row r="7" spans="1:13" s="8" customFormat="1" x14ac:dyDescent="0.2">
      <c r="A7" s="29"/>
      <c r="B7" s="30"/>
      <c r="C7" s="31"/>
      <c r="D7" s="31"/>
      <c r="E7" s="31"/>
      <c r="F7" s="31"/>
      <c r="G7" s="31"/>
      <c r="H7" s="31"/>
      <c r="I7" s="31"/>
      <c r="J7" s="31"/>
      <c r="K7" s="32"/>
    </row>
    <row r="8" spans="1:13" s="37" customFormat="1" x14ac:dyDescent="0.2">
      <c r="A8" s="33" t="s">
        <v>5</v>
      </c>
      <c r="B8" s="34" t="s">
        <v>6</v>
      </c>
      <c r="C8" s="35" t="s">
        <v>7</v>
      </c>
      <c r="D8" s="35" t="s">
        <v>8</v>
      </c>
      <c r="E8" s="35" t="s">
        <v>9</v>
      </c>
      <c r="F8" s="35" t="s">
        <v>10</v>
      </c>
      <c r="G8" s="35" t="s">
        <v>11</v>
      </c>
      <c r="H8" s="35" t="s">
        <v>12</v>
      </c>
      <c r="I8" s="35" t="s">
        <v>13</v>
      </c>
      <c r="J8" s="35" t="s">
        <v>14</v>
      </c>
      <c r="K8" s="36" t="s">
        <v>15</v>
      </c>
    </row>
    <row r="9" spans="1:13" s="37" customFormat="1" x14ac:dyDescent="0.2">
      <c r="A9" s="33"/>
      <c r="B9" s="34"/>
      <c r="C9" s="35" t="s">
        <v>16</v>
      </c>
      <c r="D9" s="35" t="s">
        <v>17</v>
      </c>
      <c r="E9" s="35" t="s">
        <v>18</v>
      </c>
      <c r="F9" s="35" t="s">
        <v>19</v>
      </c>
      <c r="G9" s="35" t="s">
        <v>20</v>
      </c>
      <c r="H9" s="35" t="s">
        <v>21</v>
      </c>
      <c r="I9" s="35" t="s">
        <v>22</v>
      </c>
      <c r="J9" s="35" t="s">
        <v>23</v>
      </c>
      <c r="K9" s="38"/>
    </row>
    <row r="10" spans="1:13" s="37" customFormat="1" ht="15" customHeight="1" x14ac:dyDescent="0.2">
      <c r="A10" s="39">
        <v>1</v>
      </c>
      <c r="B10" s="40" t="e">
        <f>[1]RESUMO!B8</f>
        <v>#REF!</v>
      </c>
      <c r="C10" s="41">
        <f>[1]ORÇ_ANALITICO!K12+[1]ORÇ_ANALITICO!K13+[1]ORÇ_ANALITICO!K14</f>
        <v>120886.62</v>
      </c>
      <c r="D10" s="41">
        <f>[1]ORÇ_ANALITICO!K15</f>
        <v>74245</v>
      </c>
      <c r="E10" s="42"/>
      <c r="F10" s="43"/>
      <c r="G10" s="43"/>
      <c r="H10" s="43"/>
      <c r="I10" s="43"/>
      <c r="J10" s="43">
        <f>[1]ORÇ_ANALITICO!K11</f>
        <v>1875.07</v>
      </c>
      <c r="K10" s="44">
        <f>SUM(C10:J10)</f>
        <v>197006.69</v>
      </c>
      <c r="L10" s="45">
        <f>[1]RESUMO!E8</f>
        <v>197006.69</v>
      </c>
      <c r="M10" s="45">
        <f>L10-K10</f>
        <v>0</v>
      </c>
    </row>
    <row r="11" spans="1:13" s="37" customFormat="1" ht="18" customHeight="1" x14ac:dyDescent="0.2">
      <c r="A11" s="46"/>
      <c r="B11" s="47"/>
      <c r="C11" s="48">
        <f>C10/$L10</f>
        <v>0.61361682692095376</v>
      </c>
      <c r="D11" s="48">
        <f>D10/$L10</f>
        <v>0.37686537447027812</v>
      </c>
      <c r="E11" s="48"/>
      <c r="F11" s="49"/>
      <c r="G11" s="49"/>
      <c r="H11" s="49"/>
      <c r="I11" s="49"/>
      <c r="J11" s="48">
        <f>J10/$L10</f>
        <v>9.5177986087680577E-3</v>
      </c>
      <c r="K11" s="50">
        <f>SUM(C11:J11)</f>
        <v>1</v>
      </c>
      <c r="L11" s="45"/>
    </row>
    <row r="12" spans="1:13" s="37" customFormat="1" x14ac:dyDescent="0.2">
      <c r="A12" s="51">
        <v>2</v>
      </c>
      <c r="B12" s="52" t="e">
        <f>[1]RESUMO!B9</f>
        <v>#REF!</v>
      </c>
      <c r="C12" s="53">
        <f>([1]ORÇ_ANALITICO!K17+[1]ORÇ_ANALITICO!K18+[1]ORÇ_ANALITICO!K20)+([1]ORÇ_ANALITICO!K19/8)</f>
        <v>20626.949999999997</v>
      </c>
      <c r="D12" s="53">
        <f>[1]ORÇ_ANALITICO!K19/8</f>
        <v>1300</v>
      </c>
      <c r="E12" s="53">
        <f t="shared" ref="E12:J12" si="0">D12</f>
        <v>1300</v>
      </c>
      <c r="F12" s="53">
        <f t="shared" si="0"/>
        <v>1300</v>
      </c>
      <c r="G12" s="53">
        <f t="shared" si="0"/>
        <v>1300</v>
      </c>
      <c r="H12" s="53">
        <f t="shared" si="0"/>
        <v>1300</v>
      </c>
      <c r="I12" s="53">
        <f t="shared" si="0"/>
        <v>1300</v>
      </c>
      <c r="J12" s="53">
        <f t="shared" si="0"/>
        <v>1300</v>
      </c>
      <c r="K12" s="54">
        <f t="shared" ref="K12:K29" si="1">SUM(C12:J12)</f>
        <v>29726.949999999997</v>
      </c>
      <c r="L12" s="45">
        <f>[1]RESUMO!E9</f>
        <v>29726.949999999997</v>
      </c>
      <c r="M12" s="45">
        <f>L12-K12</f>
        <v>0</v>
      </c>
    </row>
    <row r="13" spans="1:13" s="37" customFormat="1" ht="10.5" customHeight="1" x14ac:dyDescent="0.2">
      <c r="A13" s="55"/>
      <c r="B13" s="56"/>
      <c r="C13" s="57">
        <f>C12/$L12</f>
        <v>0.69388046873291742</v>
      </c>
      <c r="D13" s="57">
        <f>D12/$L12</f>
        <v>4.3731361609583227E-2</v>
      </c>
      <c r="E13" s="57">
        <f t="shared" ref="E13:J13" si="2">E12/$L12</f>
        <v>4.3731361609583227E-2</v>
      </c>
      <c r="F13" s="57">
        <f t="shared" si="2"/>
        <v>4.3731361609583227E-2</v>
      </c>
      <c r="G13" s="57">
        <f t="shared" si="2"/>
        <v>4.3731361609583227E-2</v>
      </c>
      <c r="H13" s="57">
        <f t="shared" si="2"/>
        <v>4.3731361609583227E-2</v>
      </c>
      <c r="I13" s="57">
        <f t="shared" si="2"/>
        <v>4.3731361609583227E-2</v>
      </c>
      <c r="J13" s="57">
        <f t="shared" si="2"/>
        <v>4.3731361609583227E-2</v>
      </c>
      <c r="K13" s="58">
        <f>SUM(C13:J13)</f>
        <v>1</v>
      </c>
      <c r="L13" s="45"/>
    </row>
    <row r="14" spans="1:13" s="37" customFormat="1" x14ac:dyDescent="0.2">
      <c r="A14" s="39">
        <v>3</v>
      </c>
      <c r="B14" s="40" t="e">
        <f>[1]RESUMO!B10</f>
        <v>#REF!</v>
      </c>
      <c r="C14" s="42">
        <f>[1]ORÇ_ANALITICO!K22+[1]ORÇ_ANALITICO!K23</f>
        <v>2419.04</v>
      </c>
      <c r="D14" s="42">
        <f>[1]ORÇ_ANALITICO!K24/7</f>
        <v>258.01428571428568</v>
      </c>
      <c r="E14" s="42">
        <f t="shared" ref="E14:J14" si="3">D14</f>
        <v>258.01428571428568</v>
      </c>
      <c r="F14" s="42">
        <f t="shared" si="3"/>
        <v>258.01428571428568</v>
      </c>
      <c r="G14" s="42">
        <f t="shared" si="3"/>
        <v>258.01428571428568</v>
      </c>
      <c r="H14" s="42">
        <f t="shared" si="3"/>
        <v>258.01428571428568</v>
      </c>
      <c r="I14" s="42">
        <f t="shared" si="3"/>
        <v>258.01428571428568</v>
      </c>
      <c r="J14" s="42">
        <f t="shared" si="3"/>
        <v>258.01428571428568</v>
      </c>
      <c r="K14" s="44">
        <f>SUM(C14:J14)</f>
        <v>4225.1399999999985</v>
      </c>
      <c r="L14" s="45">
        <f>[1]RESUMO!E10</f>
        <v>4225.1399999999994</v>
      </c>
      <c r="M14" s="45">
        <f>L14-K14</f>
        <v>0</v>
      </c>
    </row>
    <row r="15" spans="1:13" s="37" customFormat="1" x14ac:dyDescent="0.2">
      <c r="A15" s="46"/>
      <c r="B15" s="59"/>
      <c r="C15" s="48">
        <f>C14/$L14</f>
        <v>0.57253487458403751</v>
      </c>
      <c r="D15" s="48">
        <f>D14/$L14</f>
        <v>6.1066446487994648E-2</v>
      </c>
      <c r="E15" s="48">
        <f t="shared" ref="E15:J15" si="4">E14/$L14</f>
        <v>6.1066446487994648E-2</v>
      </c>
      <c r="F15" s="48">
        <f t="shared" si="4"/>
        <v>6.1066446487994648E-2</v>
      </c>
      <c r="G15" s="48">
        <f t="shared" si="4"/>
        <v>6.1066446487994648E-2</v>
      </c>
      <c r="H15" s="48">
        <f t="shared" si="4"/>
        <v>6.1066446487994648E-2</v>
      </c>
      <c r="I15" s="48">
        <f t="shared" si="4"/>
        <v>6.1066446487994648E-2</v>
      </c>
      <c r="J15" s="48">
        <f t="shared" si="4"/>
        <v>6.1066446487994648E-2</v>
      </c>
      <c r="K15" s="50">
        <f>SUM(C15:J15)</f>
        <v>1</v>
      </c>
      <c r="L15" s="45"/>
    </row>
    <row r="16" spans="1:13" s="37" customFormat="1" x14ac:dyDescent="0.2">
      <c r="A16" s="51">
        <v>4</v>
      </c>
      <c r="B16" s="52" t="e">
        <f>[1]RESUMO!B11</f>
        <v>#REF!</v>
      </c>
      <c r="C16" s="53">
        <f>[1]ORÇ_ANALITICO!$K$25*0.05</f>
        <v>8722.2225000000017</v>
      </c>
      <c r="D16" s="53">
        <f>[1]ORÇ_ANALITICO!$K$25*0.1</f>
        <v>17444.445000000003</v>
      </c>
      <c r="E16" s="53">
        <f>[1]ORÇ_ANALITICO!$K$25*0.1</f>
        <v>17444.445000000003</v>
      </c>
      <c r="F16" s="53">
        <f>[1]ORÇ_ANALITICO!$K$25*0.2</f>
        <v>34888.890000000007</v>
      </c>
      <c r="G16" s="53">
        <f>[1]ORÇ_ANALITICO!$K$25*0.2</f>
        <v>34888.890000000007</v>
      </c>
      <c r="H16" s="53">
        <f>[1]ORÇ_ANALITICO!$K$25*0.15</f>
        <v>26166.667500000007</v>
      </c>
      <c r="I16" s="53">
        <f>[1]ORÇ_ANALITICO!$K$25*0.15</f>
        <v>26166.667500000007</v>
      </c>
      <c r="J16" s="53">
        <f>[1]ORÇ_ANALITICO!$K$25*0.05</f>
        <v>8722.2225000000017</v>
      </c>
      <c r="K16" s="54">
        <f t="shared" si="1"/>
        <v>174444.45000000004</v>
      </c>
      <c r="L16" s="45">
        <f>[1]RESUMO!E11</f>
        <v>174444.45000000004</v>
      </c>
      <c r="M16" s="45">
        <f>L16-K16</f>
        <v>0</v>
      </c>
    </row>
    <row r="17" spans="1:13" s="37" customFormat="1" x14ac:dyDescent="0.2">
      <c r="A17" s="55"/>
      <c r="B17" s="56"/>
      <c r="C17" s="57">
        <f>C16/$L16</f>
        <v>4.9999999999999996E-2</v>
      </c>
      <c r="D17" s="57">
        <f t="shared" ref="D17:J17" si="5">D16/$L16</f>
        <v>9.9999999999999992E-2</v>
      </c>
      <c r="E17" s="57">
        <f t="shared" si="5"/>
        <v>9.9999999999999992E-2</v>
      </c>
      <c r="F17" s="57">
        <f t="shared" si="5"/>
        <v>0.19999999999999998</v>
      </c>
      <c r="G17" s="57">
        <f t="shared" si="5"/>
        <v>0.19999999999999998</v>
      </c>
      <c r="H17" s="57">
        <f t="shared" si="5"/>
        <v>0.15</v>
      </c>
      <c r="I17" s="57">
        <f t="shared" si="5"/>
        <v>0.15</v>
      </c>
      <c r="J17" s="57">
        <f t="shared" si="5"/>
        <v>4.9999999999999996E-2</v>
      </c>
      <c r="K17" s="58">
        <f t="shared" si="1"/>
        <v>1</v>
      </c>
      <c r="L17" s="45"/>
    </row>
    <row r="18" spans="1:13" s="37" customFormat="1" x14ac:dyDescent="0.2">
      <c r="A18" s="39">
        <v>5</v>
      </c>
      <c r="B18" s="40" t="e">
        <f>[1]RESUMO!B12</f>
        <v>#REF!</v>
      </c>
      <c r="C18" s="42"/>
      <c r="D18" s="42"/>
      <c r="E18" s="42">
        <f>[1]ORÇ_ANALITICO!$K$42*0.2</f>
        <v>37594.999999999993</v>
      </c>
      <c r="F18" s="42">
        <f>[1]ORÇ_ANALITICO!$K$42*0.3</f>
        <v>56392.499999999978</v>
      </c>
      <c r="G18" s="42">
        <f>[1]ORÇ_ANALITICO!$K$42*0.3</f>
        <v>56392.499999999978</v>
      </c>
      <c r="H18" s="42">
        <f>[1]ORÇ_ANALITICO!$K$42*0.2</f>
        <v>37594.999999999993</v>
      </c>
      <c r="I18" s="43"/>
      <c r="J18" s="43"/>
      <c r="K18" s="44">
        <f t="shared" si="1"/>
        <v>187974.99999999994</v>
      </c>
      <c r="L18" s="45">
        <f>[1]RESUMO!E12</f>
        <v>187974.99999999994</v>
      </c>
      <c r="M18" s="45">
        <f>L18-K18</f>
        <v>0</v>
      </c>
    </row>
    <row r="19" spans="1:13" s="37" customFormat="1" x14ac:dyDescent="0.2">
      <c r="A19" s="60"/>
      <c r="B19" s="47"/>
      <c r="C19" s="48"/>
      <c r="D19" s="48"/>
      <c r="E19" s="48">
        <f>E18/$L18</f>
        <v>0.2</v>
      </c>
      <c r="F19" s="48">
        <f>F18/$L18</f>
        <v>0.3</v>
      </c>
      <c r="G19" s="48">
        <f>G18/$L18</f>
        <v>0.3</v>
      </c>
      <c r="H19" s="48">
        <f>H18/$L18</f>
        <v>0.2</v>
      </c>
      <c r="I19" s="49"/>
      <c r="J19" s="49"/>
      <c r="K19" s="50">
        <f t="shared" si="1"/>
        <v>1</v>
      </c>
      <c r="L19" s="45"/>
    </row>
    <row r="20" spans="1:13" s="37" customFormat="1" x14ac:dyDescent="0.2">
      <c r="A20" s="51">
        <v>6</v>
      </c>
      <c r="B20" s="61" t="e">
        <f>[1]RESUMO!B13</f>
        <v>#REF!</v>
      </c>
      <c r="C20" s="62"/>
      <c r="D20" s="62"/>
      <c r="E20" s="62">
        <f>[1]ORÇ_ANALITICO!$K$52*0.2</f>
        <v>39023.705999999998</v>
      </c>
      <c r="F20" s="62">
        <f>[1]ORÇ_ANALITICO!$K$52*0.25</f>
        <v>48779.6325</v>
      </c>
      <c r="G20" s="62">
        <f>[1]ORÇ_ANALITICO!$K$52*0.25</f>
        <v>48779.6325</v>
      </c>
      <c r="H20" s="62">
        <f>[1]ORÇ_ANALITICO!$K$52*0.2</f>
        <v>39023.705999999998</v>
      </c>
      <c r="I20" s="62">
        <f>[1]ORÇ_ANALITICO!$K$52*0.1</f>
        <v>19511.852999999999</v>
      </c>
      <c r="J20" s="63"/>
      <c r="K20" s="54">
        <f t="shared" si="1"/>
        <v>195118.53</v>
      </c>
      <c r="L20" s="45">
        <f>[1]RESUMO!E13</f>
        <v>195118.53</v>
      </c>
      <c r="M20" s="45">
        <f>L20-K20</f>
        <v>0</v>
      </c>
    </row>
    <row r="21" spans="1:13" s="37" customFormat="1" x14ac:dyDescent="0.2">
      <c r="A21" s="64"/>
      <c r="B21" s="65"/>
      <c r="C21" s="57"/>
      <c r="D21" s="57"/>
      <c r="E21" s="57">
        <f>E20/$L20</f>
        <v>0.19999999999999998</v>
      </c>
      <c r="F21" s="57">
        <f>F20/$L20</f>
        <v>0.25</v>
      </c>
      <c r="G21" s="57">
        <f>G20/$L20</f>
        <v>0.25</v>
      </c>
      <c r="H21" s="57">
        <f>H20/$L20</f>
        <v>0.19999999999999998</v>
      </c>
      <c r="I21" s="57">
        <f>I20/$L20</f>
        <v>9.9999999999999992E-2</v>
      </c>
      <c r="J21" s="66"/>
      <c r="K21" s="58">
        <f t="shared" si="1"/>
        <v>0.99999999999999989</v>
      </c>
      <c r="L21" s="45"/>
    </row>
    <row r="22" spans="1:13" s="37" customFormat="1" x14ac:dyDescent="0.2">
      <c r="A22" s="39">
        <v>7</v>
      </c>
      <c r="B22" s="67" t="e">
        <f>[1]RESUMO!B14</f>
        <v>#REF!</v>
      </c>
      <c r="C22" s="68"/>
      <c r="D22" s="68"/>
      <c r="E22" s="68"/>
      <c r="F22" s="69"/>
      <c r="G22" s="69">
        <f>[1]ORÇ_ANALITICO!$K$57*0.2</f>
        <v>7431.5619999999999</v>
      </c>
      <c r="H22" s="69">
        <f>[1]ORÇ_ANALITICO!$K$57*0.3</f>
        <v>11147.342999999999</v>
      </c>
      <c r="I22" s="69">
        <f>[1]ORÇ_ANALITICO!$K$57*0.3</f>
        <v>11147.342999999999</v>
      </c>
      <c r="J22" s="69">
        <f>[1]ORÇ_ANALITICO!$K$57*0.2</f>
        <v>7431.5619999999999</v>
      </c>
      <c r="K22" s="44">
        <f t="shared" si="1"/>
        <v>37157.81</v>
      </c>
      <c r="L22" s="45">
        <f>[1]RESUMO!E14</f>
        <v>37157.81</v>
      </c>
      <c r="M22" s="45">
        <f>L22-K22</f>
        <v>0</v>
      </c>
    </row>
    <row r="23" spans="1:13" s="37" customFormat="1" x14ac:dyDescent="0.2">
      <c r="A23" s="60"/>
      <c r="B23" s="70"/>
      <c r="C23" s="48"/>
      <c r="D23" s="48"/>
      <c r="E23" s="48"/>
      <c r="F23" s="49"/>
      <c r="G23" s="48">
        <f>G22/$L22</f>
        <v>0.2</v>
      </c>
      <c r="H23" s="48">
        <f>H22/$L22</f>
        <v>0.3</v>
      </c>
      <c r="I23" s="48">
        <f>I22/$L22</f>
        <v>0.3</v>
      </c>
      <c r="J23" s="48">
        <f>J22/$L22</f>
        <v>0.2</v>
      </c>
      <c r="K23" s="50">
        <f t="shared" si="1"/>
        <v>1</v>
      </c>
      <c r="L23" s="45"/>
    </row>
    <row r="24" spans="1:13" s="37" customFormat="1" x14ac:dyDescent="0.2">
      <c r="A24" s="51">
        <v>8</v>
      </c>
      <c r="B24" s="61" t="e">
        <f>[1]RESUMO!B15</f>
        <v>#REF!</v>
      </c>
      <c r="C24" s="62"/>
      <c r="D24" s="62">
        <f>[1]ORÇ_ANALITICO!$K$91*0.3</f>
        <v>40640.039999999994</v>
      </c>
      <c r="E24" s="62">
        <f>[1]ORÇ_ANALITICO!$K$91*0.5</f>
        <v>67733.399999999994</v>
      </c>
      <c r="F24" s="62">
        <f>[1]ORÇ_ANALITICO!$K$91*0.2</f>
        <v>27093.360000000001</v>
      </c>
      <c r="G24" s="66"/>
      <c r="H24" s="63"/>
      <c r="I24" s="63"/>
      <c r="J24" s="66"/>
      <c r="K24" s="54">
        <f t="shared" si="1"/>
        <v>135466.79999999999</v>
      </c>
      <c r="L24" s="45">
        <f>[1]RESUMO!E15</f>
        <v>135466.79999999999</v>
      </c>
      <c r="M24" s="45">
        <f>L24-K24</f>
        <v>0</v>
      </c>
    </row>
    <row r="25" spans="1:13" s="37" customFormat="1" x14ac:dyDescent="0.2">
      <c r="A25" s="64"/>
      <c r="B25" s="65"/>
      <c r="C25" s="57"/>
      <c r="D25" s="57">
        <f>D24/$L24</f>
        <v>0.3</v>
      </c>
      <c r="E25" s="57">
        <f>E24/$L24</f>
        <v>0.5</v>
      </c>
      <c r="F25" s="57">
        <f>F24/$L24</f>
        <v>0.2</v>
      </c>
      <c r="G25" s="66"/>
      <c r="H25" s="57"/>
      <c r="I25" s="57"/>
      <c r="J25" s="66"/>
      <c r="K25" s="58">
        <f t="shared" si="1"/>
        <v>1</v>
      </c>
      <c r="L25" s="45"/>
    </row>
    <row r="26" spans="1:13" s="37" customFormat="1" x14ac:dyDescent="0.2">
      <c r="A26" s="39">
        <v>9</v>
      </c>
      <c r="B26" s="67" t="e">
        <f>[1]RESUMO!B16</f>
        <v>#REF!</v>
      </c>
      <c r="C26" s="48"/>
      <c r="D26" s="41"/>
      <c r="E26" s="68"/>
      <c r="F26" s="69"/>
      <c r="G26" s="69">
        <f>[1]ORÇ_ANALITICO!$K$99*0.1</f>
        <v>26601.075000000001</v>
      </c>
      <c r="H26" s="69">
        <f>[1]ORÇ_ANALITICO!$K$99*0.3</f>
        <v>79803.224999999991</v>
      </c>
      <c r="I26" s="69">
        <f>[1]ORÇ_ANALITICO!$K$99*0.4</f>
        <v>106404.3</v>
      </c>
      <c r="J26" s="69">
        <f>[1]ORÇ_ANALITICO!$K$99*0.2</f>
        <v>53202.15</v>
      </c>
      <c r="K26" s="44">
        <f t="shared" si="1"/>
        <v>266010.75</v>
      </c>
      <c r="L26" s="45">
        <f>[1]RESUMO!E16</f>
        <v>266010.75</v>
      </c>
      <c r="M26" s="45">
        <f>L26-K26</f>
        <v>0</v>
      </c>
    </row>
    <row r="27" spans="1:13" s="37" customFormat="1" x14ac:dyDescent="0.2">
      <c r="A27" s="60"/>
      <c r="B27" s="70"/>
      <c r="C27" s="48"/>
      <c r="D27" s="48"/>
      <c r="E27" s="48"/>
      <c r="F27" s="49"/>
      <c r="G27" s="48">
        <f>G26/$L26</f>
        <v>0.1</v>
      </c>
      <c r="H27" s="48">
        <f>H26/$L26</f>
        <v>0.3</v>
      </c>
      <c r="I27" s="48">
        <f>I26/$L26</f>
        <v>0.4</v>
      </c>
      <c r="J27" s="48">
        <f>J26/$L26</f>
        <v>0.2</v>
      </c>
      <c r="K27" s="50">
        <f t="shared" si="1"/>
        <v>1</v>
      </c>
      <c r="L27" s="45"/>
    </row>
    <row r="28" spans="1:13" s="37" customFormat="1" x14ac:dyDescent="0.2">
      <c r="A28" s="51">
        <v>10</v>
      </c>
      <c r="B28" s="61" t="e">
        <f>[1]RESUMO!B17</f>
        <v>#REF!</v>
      </c>
      <c r="C28" s="71"/>
      <c r="D28" s="71"/>
      <c r="E28" s="71"/>
      <c r="F28" s="72"/>
      <c r="G28" s="72"/>
      <c r="H28" s="72">
        <f>[1]ORÇ_ANALITICO!$K$105*0.2</f>
        <v>19176.386000000002</v>
      </c>
      <c r="I28" s="72">
        <f>[1]ORÇ_ANALITICO!$K$105*0.4</f>
        <v>38352.772000000004</v>
      </c>
      <c r="J28" s="72">
        <f>[1]ORÇ_ANALITICO!$K$105*0.4</f>
        <v>38352.772000000004</v>
      </c>
      <c r="K28" s="54">
        <f t="shared" si="1"/>
        <v>95881.930000000022</v>
      </c>
      <c r="L28" s="45">
        <f>[1]RESUMO!E17</f>
        <v>95881.930000000008</v>
      </c>
      <c r="M28" s="45">
        <f>L28-K28</f>
        <v>0</v>
      </c>
    </row>
    <row r="29" spans="1:13" s="37" customFormat="1" x14ac:dyDescent="0.2">
      <c r="A29" s="64"/>
      <c r="B29" s="65"/>
      <c r="C29" s="57"/>
      <c r="D29" s="57"/>
      <c r="E29" s="57"/>
      <c r="F29" s="66"/>
      <c r="G29" s="66"/>
      <c r="H29" s="57">
        <f>H28/$L28</f>
        <v>0.2</v>
      </c>
      <c r="I29" s="57">
        <f>I28/$L28</f>
        <v>0.4</v>
      </c>
      <c r="J29" s="57">
        <f>J28/$L28</f>
        <v>0.4</v>
      </c>
      <c r="K29" s="58">
        <f t="shared" si="1"/>
        <v>1</v>
      </c>
      <c r="L29" s="45"/>
    </row>
    <row r="30" spans="1:13" s="37" customFormat="1" x14ac:dyDescent="0.2">
      <c r="A30" s="39">
        <v>11</v>
      </c>
      <c r="B30" s="67" t="e">
        <f>[1]RESUMO!B18</f>
        <v>#REF!</v>
      </c>
      <c r="C30" s="41">
        <f>[1]ORÇ_ANALITICO!$K$127/8</f>
        <v>8821.52</v>
      </c>
      <c r="D30" s="41">
        <f>C30</f>
        <v>8821.52</v>
      </c>
      <c r="E30" s="41">
        <f t="shared" ref="E30:J30" si="6">D30</f>
        <v>8821.52</v>
      </c>
      <c r="F30" s="41">
        <f t="shared" si="6"/>
        <v>8821.52</v>
      </c>
      <c r="G30" s="41">
        <f t="shared" si="6"/>
        <v>8821.52</v>
      </c>
      <c r="H30" s="41">
        <f t="shared" si="6"/>
        <v>8821.52</v>
      </c>
      <c r="I30" s="41">
        <f t="shared" si="6"/>
        <v>8821.52</v>
      </c>
      <c r="J30" s="41">
        <f t="shared" si="6"/>
        <v>8821.52</v>
      </c>
      <c r="K30" s="44">
        <f t="shared" ref="K30:K35" si="7">SUM(C30:J30)</f>
        <v>70572.160000000018</v>
      </c>
      <c r="L30" s="45">
        <f>[1]RESUMO!E18</f>
        <v>70572.160000000003</v>
      </c>
      <c r="M30" s="45">
        <f>L30-K30</f>
        <v>0</v>
      </c>
    </row>
    <row r="31" spans="1:13" s="37" customFormat="1" x14ac:dyDescent="0.2">
      <c r="A31" s="60"/>
      <c r="B31" s="70"/>
      <c r="C31" s="48">
        <f>C30/$L30</f>
        <v>0.125</v>
      </c>
      <c r="D31" s="48">
        <f>D30/$L30</f>
        <v>0.125</v>
      </c>
      <c r="E31" s="48">
        <f t="shared" ref="E31:J31" si="8">E30/$L30</f>
        <v>0.125</v>
      </c>
      <c r="F31" s="48">
        <f t="shared" si="8"/>
        <v>0.125</v>
      </c>
      <c r="G31" s="48">
        <f t="shared" si="8"/>
        <v>0.125</v>
      </c>
      <c r="H31" s="48">
        <f t="shared" si="8"/>
        <v>0.125</v>
      </c>
      <c r="I31" s="48">
        <f t="shared" si="8"/>
        <v>0.125</v>
      </c>
      <c r="J31" s="48">
        <f t="shared" si="8"/>
        <v>0.125</v>
      </c>
      <c r="K31" s="50">
        <f t="shared" si="7"/>
        <v>1</v>
      </c>
    </row>
    <row r="32" spans="1:13" s="37" customFormat="1" x14ac:dyDescent="0.2">
      <c r="A32" s="51">
        <v>12</v>
      </c>
      <c r="B32" s="61" t="e">
        <f>[1]RESUMO!B19</f>
        <v>#REF!</v>
      </c>
      <c r="C32" s="71">
        <f>[1]ORÇ_ANALITICO!$K$129*0.125</f>
        <v>6079.5</v>
      </c>
      <c r="D32" s="71">
        <f>[1]ORÇ_ANALITICO!$K$129*0.125</f>
        <v>6079.5</v>
      </c>
      <c r="E32" s="71">
        <f>[1]ORÇ_ANALITICO!$K$129*0.125</f>
        <v>6079.5</v>
      </c>
      <c r="F32" s="71">
        <f>[1]ORÇ_ANALITICO!$K$129*0.125</f>
        <v>6079.5</v>
      </c>
      <c r="G32" s="71">
        <f>[1]ORÇ_ANALITICO!$K$129*0.125</f>
        <v>6079.5</v>
      </c>
      <c r="H32" s="71">
        <f>[1]ORÇ_ANALITICO!$K$129*0.125</f>
        <v>6079.5</v>
      </c>
      <c r="I32" s="71">
        <f>[1]ORÇ_ANALITICO!$K$129*0.125</f>
        <v>6079.5</v>
      </c>
      <c r="J32" s="71">
        <f>[1]ORÇ_ANALITICO!$K$129*0.125</f>
        <v>6079.5</v>
      </c>
      <c r="K32" s="54">
        <f t="shared" si="7"/>
        <v>48636</v>
      </c>
      <c r="L32" s="73">
        <f>[1]RESUMO!E19</f>
        <v>48636</v>
      </c>
      <c r="M32" s="45">
        <f>L32-K32</f>
        <v>0</v>
      </c>
    </row>
    <row r="33" spans="1:14" s="37" customFormat="1" x14ac:dyDescent="0.2">
      <c r="A33" s="64"/>
      <c r="B33" s="65"/>
      <c r="C33" s="57">
        <f>C32/$L32</f>
        <v>0.125</v>
      </c>
      <c r="D33" s="57">
        <f t="shared" ref="D33:J33" si="9">D32/$L32</f>
        <v>0.125</v>
      </c>
      <c r="E33" s="57">
        <f t="shared" si="9"/>
        <v>0.125</v>
      </c>
      <c r="F33" s="57">
        <f t="shared" si="9"/>
        <v>0.125</v>
      </c>
      <c r="G33" s="57">
        <f t="shared" si="9"/>
        <v>0.125</v>
      </c>
      <c r="H33" s="57">
        <f t="shared" si="9"/>
        <v>0.125</v>
      </c>
      <c r="I33" s="57">
        <f t="shared" si="9"/>
        <v>0.125</v>
      </c>
      <c r="J33" s="57">
        <f t="shared" si="9"/>
        <v>0.125</v>
      </c>
      <c r="K33" s="58">
        <f t="shared" si="7"/>
        <v>1</v>
      </c>
      <c r="L33" s="45"/>
    </row>
    <row r="34" spans="1:14" s="37" customFormat="1" x14ac:dyDescent="0.2">
      <c r="A34" s="74" t="s">
        <v>24</v>
      </c>
      <c r="B34" s="75"/>
      <c r="C34" s="76">
        <f t="shared" ref="C34:J34" si="10">SUM(C10,C12,C14,C16,C18,C20,C22,C24,C26,C28,C30,C32)</f>
        <v>167555.85250000001</v>
      </c>
      <c r="D34" s="76">
        <f t="shared" si="10"/>
        <v>148788.51928571428</v>
      </c>
      <c r="E34" s="76">
        <f t="shared" si="10"/>
        <v>178255.58528571427</v>
      </c>
      <c r="F34" s="76">
        <f t="shared" si="10"/>
        <v>183613.41678571425</v>
      </c>
      <c r="G34" s="76">
        <f t="shared" si="10"/>
        <v>190552.69378571428</v>
      </c>
      <c r="H34" s="76">
        <f t="shared" si="10"/>
        <v>229371.36178571425</v>
      </c>
      <c r="I34" s="76">
        <f t="shared" si="10"/>
        <v>218041.96978571429</v>
      </c>
      <c r="J34" s="76">
        <f t="shared" si="10"/>
        <v>126042.81078571429</v>
      </c>
      <c r="K34" s="77">
        <f t="shared" si="7"/>
        <v>1442222.21</v>
      </c>
      <c r="L34" s="78">
        <f>SUM(L10:L32)</f>
        <v>1442222.21</v>
      </c>
      <c r="M34" s="45">
        <f>L34-K34</f>
        <v>0</v>
      </c>
      <c r="N34" s="73">
        <f>[1]ORÇ_ANALITICO!K131</f>
        <v>1442222.21</v>
      </c>
    </row>
    <row r="35" spans="1:14" s="37" customFormat="1" x14ac:dyDescent="0.2">
      <c r="A35" s="74" t="s">
        <v>25</v>
      </c>
      <c r="B35" s="79"/>
      <c r="C35" s="76">
        <f>C34*[1]BDI!$E$70</f>
        <v>37515.755374749999</v>
      </c>
      <c r="D35" s="76">
        <f>D34*[1]BDI!$E$70</f>
        <v>33313.749468071423</v>
      </c>
      <c r="E35" s="76">
        <f>E34*[1]BDI!$E$70</f>
        <v>39911.425545471422</v>
      </c>
      <c r="F35" s="76">
        <f>F34*[1]BDI!$E$70</f>
        <v>41111.044018321416</v>
      </c>
      <c r="G35" s="76">
        <f>G34*[1]BDI!$E$70</f>
        <v>42664.748138621428</v>
      </c>
      <c r="H35" s="76">
        <f>H34*[1]BDI!$E$70</f>
        <v>51356.247903821415</v>
      </c>
      <c r="I35" s="76">
        <f>I34*[1]BDI!$E$70</f>
        <v>48819.597035021427</v>
      </c>
      <c r="J35" s="76">
        <f>J34*[1]BDI!$E$70</f>
        <v>28220.985334921428</v>
      </c>
      <c r="K35" s="77">
        <f t="shared" si="7"/>
        <v>322913.55281899997</v>
      </c>
      <c r="L35" s="78">
        <f>[1]ORÇ_ANALITICO!K135</f>
        <v>322913.55</v>
      </c>
      <c r="M35" s="45">
        <f>L35-K35</f>
        <v>-2.8189999866299331E-3</v>
      </c>
      <c r="N35" s="73"/>
    </row>
    <row r="36" spans="1:14" s="37" customFormat="1" x14ac:dyDescent="0.2">
      <c r="A36" s="80"/>
      <c r="B36" s="81"/>
      <c r="C36" s="76"/>
      <c r="D36" s="76"/>
      <c r="E36" s="76"/>
      <c r="F36" s="82"/>
      <c r="G36" s="82"/>
      <c r="H36" s="82"/>
      <c r="I36" s="82"/>
      <c r="J36" s="82"/>
      <c r="K36" s="83"/>
      <c r="L36" s="78"/>
    </row>
    <row r="37" spans="1:14" s="37" customFormat="1" x14ac:dyDescent="0.2">
      <c r="A37" s="84" t="s">
        <v>26</v>
      </c>
      <c r="B37" s="85"/>
      <c r="C37" s="76">
        <f>C34+C35</f>
        <v>205071.60787475001</v>
      </c>
      <c r="D37" s="76">
        <f t="shared" ref="D37:J37" si="11">D34+D35</f>
        <v>182102.2687537857</v>
      </c>
      <c r="E37" s="76">
        <f t="shared" si="11"/>
        <v>218167.0108311857</v>
      </c>
      <c r="F37" s="76">
        <f t="shared" si="11"/>
        <v>224724.46080403565</v>
      </c>
      <c r="G37" s="76">
        <f t="shared" si="11"/>
        <v>233217.4419243357</v>
      </c>
      <c r="H37" s="76">
        <f t="shared" si="11"/>
        <v>280727.60968953569</v>
      </c>
      <c r="I37" s="76">
        <f t="shared" si="11"/>
        <v>266861.56682073569</v>
      </c>
      <c r="J37" s="76">
        <f t="shared" si="11"/>
        <v>154263.79612063573</v>
      </c>
      <c r="K37" s="83">
        <f>TRUNC(C37+D37+E37+F37+G37+H37+I37+J37,2)</f>
        <v>1765135.76</v>
      </c>
      <c r="L37" s="78">
        <f>[1]ORÇ_ANALITICO!K136</f>
        <v>1765135.76</v>
      </c>
      <c r="M37" s="45">
        <f>L37-K37</f>
        <v>0</v>
      </c>
      <c r="N37" s="73"/>
    </row>
    <row r="38" spans="1:14" s="37" customFormat="1" x14ac:dyDescent="0.2">
      <c r="A38" s="84" t="s">
        <v>27</v>
      </c>
      <c r="B38" s="86"/>
      <c r="C38" s="87">
        <f>C37/$K37</f>
        <v>0.1161789435815124</v>
      </c>
      <c r="D38" s="87">
        <f t="shared" ref="D38:J38" si="12">D37/$K37</f>
        <v>0.10316615462698785</v>
      </c>
      <c r="E38" s="87">
        <f t="shared" si="12"/>
        <v>0.1235978646940934</v>
      </c>
      <c r="F38" s="87">
        <f t="shared" si="12"/>
        <v>0.12731284805200233</v>
      </c>
      <c r="G38" s="87">
        <f t="shared" si="12"/>
        <v>0.13212436528073948</v>
      </c>
      <c r="H38" s="87">
        <f t="shared" si="12"/>
        <v>0.159040237046433</v>
      </c>
      <c r="I38" s="87">
        <f t="shared" si="12"/>
        <v>0.15118472633557414</v>
      </c>
      <c r="J38" s="87">
        <f t="shared" si="12"/>
        <v>8.7394861979701616E-2</v>
      </c>
      <c r="K38" s="88">
        <f>SUM(C38:J38)</f>
        <v>1.0000000015970443</v>
      </c>
      <c r="L38" s="78">
        <f>L34+L35</f>
        <v>1765135.76</v>
      </c>
      <c r="M38" s="45"/>
    </row>
    <row r="39" spans="1:14" s="37" customFormat="1" x14ac:dyDescent="0.2">
      <c r="A39" s="89"/>
      <c r="B39" s="90"/>
      <c r="C39" s="76"/>
      <c r="D39" s="76"/>
      <c r="E39" s="76"/>
      <c r="F39" s="82"/>
      <c r="G39" s="82"/>
      <c r="H39" s="82"/>
      <c r="I39" s="82"/>
      <c r="J39" s="82"/>
      <c r="K39" s="91"/>
      <c r="L39" s="78"/>
    </row>
    <row r="40" spans="1:14" s="37" customFormat="1" x14ac:dyDescent="0.2">
      <c r="A40" s="92" t="s">
        <v>28</v>
      </c>
      <c r="B40" s="93"/>
      <c r="C40" s="94">
        <f>C37</f>
        <v>205071.60787475001</v>
      </c>
      <c r="D40" s="94">
        <f t="shared" ref="D40:J40" si="13">TRUNC(C40+D37,3)</f>
        <v>387173.87599999999</v>
      </c>
      <c r="E40" s="94">
        <f t="shared" si="13"/>
        <v>605340.88600000006</v>
      </c>
      <c r="F40" s="94">
        <f t="shared" si="13"/>
        <v>830065.34600000002</v>
      </c>
      <c r="G40" s="94">
        <f t="shared" si="13"/>
        <v>1063282.787</v>
      </c>
      <c r="H40" s="94">
        <f t="shared" si="13"/>
        <v>1344010.3959999999</v>
      </c>
      <c r="I40" s="94">
        <f t="shared" si="13"/>
        <v>1610871.9620000001</v>
      </c>
      <c r="J40" s="94">
        <f t="shared" si="13"/>
        <v>1765135.7579999999</v>
      </c>
      <c r="K40" s="95"/>
      <c r="L40" s="96">
        <f>K37-J40</f>
        <v>2.0000000949949026E-3</v>
      </c>
    </row>
    <row r="41" spans="1:14" s="37" customFormat="1" ht="15.75" thickBot="1" x14ac:dyDescent="0.25">
      <c r="A41" s="97" t="s">
        <v>29</v>
      </c>
      <c r="B41" s="98"/>
      <c r="C41" s="99">
        <f>C38</f>
        <v>0.1161789435815124</v>
      </c>
      <c r="D41" s="99">
        <f>C41+D38</f>
        <v>0.21934509820850023</v>
      </c>
      <c r="E41" s="99">
        <f t="shared" ref="E41:J41" si="14">D41+E38</f>
        <v>0.34294296290259363</v>
      </c>
      <c r="F41" s="99">
        <f t="shared" si="14"/>
        <v>0.47025581095459595</v>
      </c>
      <c r="G41" s="99">
        <f t="shared" si="14"/>
        <v>0.60238017623533546</v>
      </c>
      <c r="H41" s="99">
        <f t="shared" si="14"/>
        <v>0.76142041328176846</v>
      </c>
      <c r="I41" s="99">
        <f t="shared" si="14"/>
        <v>0.91260513961734258</v>
      </c>
      <c r="J41" s="99">
        <f t="shared" si="14"/>
        <v>1.0000000015970443</v>
      </c>
      <c r="K41" s="100">
        <f>J41</f>
        <v>1.0000000015970443</v>
      </c>
      <c r="L41" s="101"/>
    </row>
  </sheetData>
  <mergeCells count="40">
    <mergeCell ref="A38:B38"/>
    <mergeCell ref="A40:B40"/>
    <mergeCell ref="A41:B41"/>
    <mergeCell ref="A32:A33"/>
    <mergeCell ref="B32:B33"/>
    <mergeCell ref="A34:B34"/>
    <mergeCell ref="A35:B35"/>
    <mergeCell ref="A36:B36"/>
    <mergeCell ref="A37:B37"/>
    <mergeCell ref="A26:A27"/>
    <mergeCell ref="B26:B27"/>
    <mergeCell ref="A28:A29"/>
    <mergeCell ref="B28:B29"/>
    <mergeCell ref="A30:A31"/>
    <mergeCell ref="B30:B31"/>
    <mergeCell ref="A20:A21"/>
    <mergeCell ref="B20:B21"/>
    <mergeCell ref="A22:A23"/>
    <mergeCell ref="B22:B23"/>
    <mergeCell ref="A24:A25"/>
    <mergeCell ref="B24:B25"/>
    <mergeCell ref="A14:A15"/>
    <mergeCell ref="B14:B15"/>
    <mergeCell ref="A16:A17"/>
    <mergeCell ref="B16:B17"/>
    <mergeCell ref="A18:A19"/>
    <mergeCell ref="B18:B19"/>
    <mergeCell ref="A8:A9"/>
    <mergeCell ref="B8:B9"/>
    <mergeCell ref="K8:K9"/>
    <mergeCell ref="A10:A11"/>
    <mergeCell ref="B10:B11"/>
    <mergeCell ref="A12:A13"/>
    <mergeCell ref="B12:B13"/>
    <mergeCell ref="B1:H1"/>
    <mergeCell ref="I1:K1"/>
    <mergeCell ref="A2:A3"/>
    <mergeCell ref="B2:K3"/>
    <mergeCell ref="B4:K4"/>
    <mergeCell ref="A6: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</dc:creator>
  <cp:lastModifiedBy>VITOR</cp:lastModifiedBy>
  <dcterms:created xsi:type="dcterms:W3CDTF">2015-06-05T18:19:34Z</dcterms:created>
  <dcterms:modified xsi:type="dcterms:W3CDTF">2025-08-05T14:55:45Z</dcterms:modified>
</cp:coreProperties>
</file>