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ECID\01.ADESAO\RIO_CLARO\Projeto_R0\VENDINHA\"/>
    </mc:Choice>
  </mc:AlternateContent>
  <xr:revisionPtr revIDLastSave="0" documentId="13_ncr:1_{0636C4B9-AF65-433B-8DA4-1CF15359F51E}" xr6:coauthVersionLast="47" xr6:coauthVersionMax="47" xr10:uidLastSave="{00000000-0000-0000-0000-000000000000}"/>
  <bookViews>
    <workbookView xWindow="-120" yWindow="-120" windowWidth="29040" windowHeight="15720" tabRatio="672" xr2:uid="{00000000-000D-0000-FFFF-FFFF00000000}"/>
  </bookViews>
  <sheets>
    <sheet name="superficial" sheetId="4" r:id="rId1"/>
    <sheet name="TIPOS" sheetId="2" state="hidden" r:id="rId2"/>
    <sheet name="Planilha1" sheetId="9" r:id="rId3"/>
  </sheets>
  <definedNames>
    <definedName name="_xlnm._FilterDatabase" localSheetId="0" hidden="1">superficial!#REF!</definedName>
    <definedName name="_xlnm.Print_Area" localSheetId="0">superficial!$A$1:$AG$81</definedName>
    <definedName name="_xlnm.Print_Area" localSheetId="1">TIPOS!$A$1:$K$100</definedName>
    <definedName name="_xlnm.Print_Titles" localSheetId="0">superficial!$1:$9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9" l="1"/>
  <c r="AQ12" i="4" l="1"/>
  <c r="AP12" i="4"/>
  <c r="AO12" i="4"/>
  <c r="AN12" i="4"/>
  <c r="AM12" i="4"/>
  <c r="AL12" i="4"/>
  <c r="AK12" i="4"/>
  <c r="AJ12" i="4"/>
  <c r="AG12" i="4"/>
  <c r="V12" i="4" s="1"/>
  <c r="AF12" i="4"/>
  <c r="S12" i="4"/>
  <c r="N12" i="4"/>
  <c r="L12" i="4"/>
  <c r="AQ10" i="4"/>
  <c r="AP10" i="4"/>
  <c r="AO10" i="4"/>
  <c r="AN10" i="4"/>
  <c r="AM10" i="4"/>
  <c r="AL10" i="4"/>
  <c r="AK10" i="4"/>
  <c r="AJ10" i="4"/>
  <c r="AG10" i="4"/>
  <c r="L10" i="4" s="1"/>
  <c r="AF10" i="4"/>
  <c r="S10" i="4"/>
  <c r="AG16" i="4"/>
  <c r="N16" i="4" s="1"/>
  <c r="H93" i="2"/>
  <c r="I93" i="2"/>
  <c r="AQ16" i="4"/>
  <c r="AP16" i="4"/>
  <c r="AO16" i="4"/>
  <c r="AN16" i="4"/>
  <c r="AM16" i="4"/>
  <c r="AL16" i="4"/>
  <c r="AK16" i="4"/>
  <c r="AJ16" i="4"/>
  <c r="AF16" i="4"/>
  <c r="S16" i="4"/>
  <c r="Q12" i="4" l="1"/>
  <c r="V10" i="4"/>
  <c r="P12" i="4"/>
  <c r="N10" i="4"/>
  <c r="Q10" i="4" s="1"/>
  <c r="V16" i="4"/>
  <c r="L16" i="4"/>
  <c r="H92" i="2"/>
  <c r="I92" i="2"/>
  <c r="T12" i="4" l="1"/>
  <c r="U12" i="4" s="1"/>
  <c r="AB12" i="4" s="1"/>
  <c r="W12" i="4" s="1"/>
  <c r="P10" i="4"/>
  <c r="T10" i="4" s="1"/>
  <c r="U10" i="4" s="1"/>
  <c r="P16" i="4"/>
  <c r="Q16" i="4"/>
  <c r="G96" i="2"/>
  <c r="AO56" i="4"/>
  <c r="AN56" i="4"/>
  <c r="AM56" i="4"/>
  <c r="AL56" i="4"/>
  <c r="AK56" i="4"/>
  <c r="AJ56" i="4"/>
  <c r="AG56" i="4"/>
  <c r="L56" i="4" s="1"/>
  <c r="AF56" i="4"/>
  <c r="S56" i="4"/>
  <c r="U14" i="4" l="1"/>
  <c r="AS14" i="4" s="1"/>
  <c r="AT14" i="4" s="1"/>
  <c r="AI12" i="4"/>
  <c r="X12" i="4"/>
  <c r="Y12" i="4" s="1"/>
  <c r="AB10" i="4"/>
  <c r="X10" i="4" s="1"/>
  <c r="T16" i="4"/>
  <c r="U16" i="4" s="1"/>
  <c r="N56" i="4"/>
  <c r="P56" i="4" s="1"/>
  <c r="V56" i="4"/>
  <c r="AA12" i="4" l="1"/>
  <c r="AC12" i="4" s="1"/>
  <c r="AD12" i="4"/>
  <c r="Z12" i="4"/>
  <c r="W10" i="4"/>
  <c r="Y10" i="4" s="1"/>
  <c r="AA10" i="4" s="1"/>
  <c r="AC10" i="4" s="1"/>
  <c r="AI10" i="4"/>
  <c r="W14" i="4"/>
  <c r="X14" i="4"/>
  <c r="AU14" i="4"/>
  <c r="AB14" i="4" s="1"/>
  <c r="AI14" i="4" s="1"/>
  <c r="AB16" i="4"/>
  <c r="AI16" i="4" s="1"/>
  <c r="Q56" i="4"/>
  <c r="T56" i="4" s="1"/>
  <c r="U56" i="4" s="1"/>
  <c r="AG60" i="4"/>
  <c r="N60" i="4" s="1"/>
  <c r="AG54" i="4"/>
  <c r="N54" i="4" s="1"/>
  <c r="AG50" i="4"/>
  <c r="L50" i="4" s="1"/>
  <c r="AG48" i="4"/>
  <c r="L48" i="4" s="1"/>
  <c r="AG44" i="4"/>
  <c r="N44" i="4" s="1"/>
  <c r="AG42" i="4"/>
  <c r="N42" i="4" s="1"/>
  <c r="AG38" i="4"/>
  <c r="V38" i="4" s="1"/>
  <c r="AG36" i="4"/>
  <c r="N36" i="4" s="1"/>
  <c r="AG32" i="4"/>
  <c r="N32" i="4" s="1"/>
  <c r="AG30" i="4"/>
  <c r="N30" i="4" s="1"/>
  <c r="AG26" i="4"/>
  <c r="L26" i="4" s="1"/>
  <c r="AG24" i="4"/>
  <c r="N24" i="4" s="1"/>
  <c r="AG20" i="4"/>
  <c r="L20" i="4" s="1"/>
  <c r="AG18" i="4"/>
  <c r="AO38" i="4"/>
  <c r="AN38" i="4"/>
  <c r="AM38" i="4"/>
  <c r="AL38" i="4"/>
  <c r="AK38" i="4"/>
  <c r="AJ38" i="4"/>
  <c r="AF38" i="4"/>
  <c r="S38" i="4"/>
  <c r="G98" i="2"/>
  <c r="G99" i="2"/>
  <c r="G97" i="2"/>
  <c r="W16" i="4" l="1"/>
  <c r="X16" i="4"/>
  <c r="Z10" i="4"/>
  <c r="AD10" i="4"/>
  <c r="Y14" i="4"/>
  <c r="AA14" i="4" s="1"/>
  <c r="AC14" i="4" s="1"/>
  <c r="L18" i="4"/>
  <c r="L30" i="4"/>
  <c r="L36" i="4"/>
  <c r="L32" i="4"/>
  <c r="L38" i="4"/>
  <c r="N38" i="4"/>
  <c r="N26" i="4"/>
  <c r="L54" i="4"/>
  <c r="L42" i="4"/>
  <c r="N48" i="4"/>
  <c r="N50" i="4"/>
  <c r="N20" i="4"/>
  <c r="L24" i="4"/>
  <c r="N18" i="4"/>
  <c r="L60" i="4"/>
  <c r="L44" i="4"/>
  <c r="V24" i="4"/>
  <c r="V26" i="4"/>
  <c r="V30" i="4"/>
  <c r="V32" i="4"/>
  <c r="V36" i="4"/>
  <c r="V42" i="4"/>
  <c r="V44" i="4"/>
  <c r="V48" i="4"/>
  <c r="V50" i="4"/>
  <c r="V54" i="4"/>
  <c r="V60" i="4"/>
  <c r="V20" i="4"/>
  <c r="Y16" i="4" l="1"/>
  <c r="AA16" i="4" s="1"/>
  <c r="AC16" i="4" s="1"/>
  <c r="Z14" i="4"/>
  <c r="Z16" i="4"/>
  <c r="AD16" i="4"/>
  <c r="Q38" i="4"/>
  <c r="P38" i="4"/>
  <c r="T38" i="4" l="1"/>
  <c r="U38" i="4" s="1"/>
  <c r="AO18" i="4"/>
  <c r="AN18" i="4"/>
  <c r="AL18" i="4"/>
  <c r="S18" i="4"/>
  <c r="BF2" i="4"/>
  <c r="AJ26" i="4"/>
  <c r="AK26" i="4"/>
  <c r="AL26" i="4"/>
  <c r="AM26" i="4"/>
  <c r="AN26" i="4"/>
  <c r="AO26" i="4"/>
  <c r="AJ30" i="4"/>
  <c r="AK30" i="4"/>
  <c r="AL30" i="4"/>
  <c r="AM30" i="4"/>
  <c r="AN30" i="4"/>
  <c r="AO30" i="4"/>
  <c r="AJ32" i="4"/>
  <c r="AK32" i="4"/>
  <c r="AL32" i="4"/>
  <c r="AM32" i="4"/>
  <c r="AN32" i="4"/>
  <c r="AO32" i="4"/>
  <c r="AJ36" i="4"/>
  <c r="AK36" i="4"/>
  <c r="AL36" i="4"/>
  <c r="AM36" i="4"/>
  <c r="AN36" i="4"/>
  <c r="AO36" i="4"/>
  <c r="AJ42" i="4"/>
  <c r="AK42" i="4"/>
  <c r="AL42" i="4"/>
  <c r="AM42" i="4"/>
  <c r="AN42" i="4"/>
  <c r="AO42" i="4"/>
  <c r="AJ44" i="4"/>
  <c r="AK44" i="4"/>
  <c r="AL44" i="4"/>
  <c r="AM44" i="4"/>
  <c r="AN44" i="4"/>
  <c r="AO44" i="4"/>
  <c r="AJ48" i="4"/>
  <c r="AK48" i="4"/>
  <c r="AL48" i="4"/>
  <c r="AM48" i="4"/>
  <c r="AN48" i="4"/>
  <c r="AO48" i="4"/>
  <c r="AJ50" i="4"/>
  <c r="AK50" i="4"/>
  <c r="AL50" i="4"/>
  <c r="AM50" i="4"/>
  <c r="AN50" i="4"/>
  <c r="AO50" i="4"/>
  <c r="AJ54" i="4"/>
  <c r="AK54" i="4"/>
  <c r="AL54" i="4"/>
  <c r="AM54" i="4"/>
  <c r="AN54" i="4"/>
  <c r="AO54" i="4"/>
  <c r="AJ60" i="4"/>
  <c r="AK60" i="4"/>
  <c r="AL60" i="4"/>
  <c r="AM60" i="4"/>
  <c r="AN60" i="4"/>
  <c r="AO60" i="4"/>
  <c r="Q20" i="4"/>
  <c r="S20" i="4"/>
  <c r="Q24" i="4"/>
  <c r="S24" i="4"/>
  <c r="Q26" i="4"/>
  <c r="S26" i="4"/>
  <c r="Q30" i="4"/>
  <c r="S30" i="4"/>
  <c r="Q32" i="4"/>
  <c r="S32" i="4"/>
  <c r="Q36" i="4"/>
  <c r="S36" i="4"/>
  <c r="Q42" i="4"/>
  <c r="S42" i="4"/>
  <c r="Q44" i="4"/>
  <c r="S44" i="4"/>
  <c r="Q48" i="4"/>
  <c r="S48" i="4"/>
  <c r="Q50" i="4"/>
  <c r="S50" i="4"/>
  <c r="Q54" i="4"/>
  <c r="S54" i="4"/>
  <c r="Q60" i="4"/>
  <c r="S60" i="4"/>
  <c r="V18" i="4"/>
  <c r="P20" i="4" l="1"/>
  <c r="P48" i="4"/>
  <c r="T48" i="4" s="1"/>
  <c r="U48" i="4" s="1"/>
  <c r="P44" i="4"/>
  <c r="T44" i="4" s="1"/>
  <c r="P30" i="4"/>
  <c r="T30" i="4" s="1"/>
  <c r="U30" i="4" s="1"/>
  <c r="P24" i="4"/>
  <c r="P60" i="4"/>
  <c r="T60" i="4" s="1"/>
  <c r="U60" i="4" s="1"/>
  <c r="P54" i="4"/>
  <c r="T54" i="4" s="1"/>
  <c r="U54" i="4" s="1"/>
  <c r="U58" i="4" s="1"/>
  <c r="AS58" i="4" s="1"/>
  <c r="AT58" i="4" s="1"/>
  <c r="P50" i="4"/>
  <c r="T50" i="4" s="1"/>
  <c r="U50" i="4" s="1"/>
  <c r="P42" i="4"/>
  <c r="T42" i="4" s="1"/>
  <c r="U42" i="4" s="1"/>
  <c r="P36" i="4"/>
  <c r="T36" i="4" s="1"/>
  <c r="U36" i="4" s="1"/>
  <c r="U40" i="4" s="1"/>
  <c r="AS40" i="4" s="1"/>
  <c r="AT40" i="4" s="1"/>
  <c r="P32" i="4"/>
  <c r="T32" i="4" s="1"/>
  <c r="U32" i="4" s="1"/>
  <c r="P26" i="4"/>
  <c r="AF60" i="4"/>
  <c r="AF54" i="4"/>
  <c r="AF50" i="4"/>
  <c r="AF48" i="4"/>
  <c r="AF44" i="4"/>
  <c r="AF42" i="4"/>
  <c r="AF36" i="4"/>
  <c r="AF32" i="4"/>
  <c r="AF30" i="4"/>
  <c r="X58" i="4" l="1"/>
  <c r="W58" i="4"/>
  <c r="AU58" i="4"/>
  <c r="AB58" i="4" s="1"/>
  <c r="AI58" i="4" s="1"/>
  <c r="U52" i="4"/>
  <c r="AS52" i="4" s="1"/>
  <c r="AT52" i="4" s="1"/>
  <c r="X40" i="4"/>
  <c r="W40" i="4"/>
  <c r="AU40" i="4"/>
  <c r="AB40" i="4" s="1"/>
  <c r="AI40" i="4" s="1"/>
  <c r="U34" i="4"/>
  <c r="AS34" i="4" s="1"/>
  <c r="AT34" i="4" s="1"/>
  <c r="T20" i="4"/>
  <c r="U20" i="4" s="1"/>
  <c r="T26" i="4"/>
  <c r="U26" i="4" s="1"/>
  <c r="T24" i="4"/>
  <c r="U24" i="4" s="1"/>
  <c r="U44" i="4"/>
  <c r="U46" i="4" s="1"/>
  <c r="AS46" i="4" s="1"/>
  <c r="AT46" i="4" s="1"/>
  <c r="AF26" i="4"/>
  <c r="AO24" i="4"/>
  <c r="AN24" i="4"/>
  <c r="AM24" i="4"/>
  <c r="AL24" i="4"/>
  <c r="AK24" i="4"/>
  <c r="AJ24" i="4"/>
  <c r="AF24" i="4"/>
  <c r="AO20" i="4"/>
  <c r="AN20" i="4"/>
  <c r="AM20" i="4"/>
  <c r="AL20" i="4"/>
  <c r="AK20" i="4"/>
  <c r="AJ20" i="4"/>
  <c r="AF20" i="4"/>
  <c r="Q18" i="4"/>
  <c r="AM18" i="4"/>
  <c r="AK18" i="4"/>
  <c r="AJ18" i="4"/>
  <c r="AF18" i="4"/>
  <c r="P18" i="4"/>
  <c r="I82" i="2"/>
  <c r="H82" i="2"/>
  <c r="I70" i="2"/>
  <c r="H70" i="2"/>
  <c r="H32" i="2"/>
  <c r="I32" i="2"/>
  <c r="H91" i="2"/>
  <c r="I91" i="2"/>
  <c r="H7" i="2"/>
  <c r="I7" i="2"/>
  <c r="I79" i="2"/>
  <c r="H79" i="2"/>
  <c r="H27" i="2"/>
  <c r="I27" i="2"/>
  <c r="H23" i="2"/>
  <c r="I23" i="2"/>
  <c r="H22" i="2"/>
  <c r="I22" i="2"/>
  <c r="H16" i="2"/>
  <c r="I16" i="2"/>
  <c r="H33" i="2"/>
  <c r="I33" i="2"/>
  <c r="H13" i="2"/>
  <c r="I13" i="2"/>
  <c r="H11" i="2"/>
  <c r="I11" i="2"/>
  <c r="I71" i="2"/>
  <c r="H71" i="2"/>
  <c r="H38" i="2"/>
  <c r="I38" i="2"/>
  <c r="H39" i="2"/>
  <c r="I39" i="2"/>
  <c r="H10" i="2"/>
  <c r="I10" i="2"/>
  <c r="H77" i="2"/>
  <c r="I77" i="2"/>
  <c r="H14" i="2"/>
  <c r="I14" i="2"/>
  <c r="H9" i="2"/>
  <c r="I9" i="2"/>
  <c r="H15" i="2"/>
  <c r="I15" i="2"/>
  <c r="H17" i="2"/>
  <c r="I17" i="2"/>
  <c r="H49" i="2"/>
  <c r="I49" i="2"/>
  <c r="H26" i="2"/>
  <c r="I26" i="2"/>
  <c r="I19" i="2"/>
  <c r="H19" i="2"/>
  <c r="I90" i="2"/>
  <c r="H90" i="2"/>
  <c r="I89" i="2"/>
  <c r="H89" i="2"/>
  <c r="I88" i="2"/>
  <c r="H88" i="2"/>
  <c r="I87" i="2"/>
  <c r="H87" i="2"/>
  <c r="I86" i="2"/>
  <c r="H86" i="2"/>
  <c r="I85" i="2"/>
  <c r="H85" i="2"/>
  <c r="I84" i="2"/>
  <c r="H84" i="2"/>
  <c r="I83" i="2"/>
  <c r="H83" i="2"/>
  <c r="I81" i="2"/>
  <c r="H81" i="2"/>
  <c r="I80" i="2"/>
  <c r="H80" i="2"/>
  <c r="I78" i="2"/>
  <c r="H78" i="2"/>
  <c r="I76" i="2"/>
  <c r="H76" i="2"/>
  <c r="I75" i="2"/>
  <c r="H75" i="2"/>
  <c r="I74" i="2"/>
  <c r="H74" i="2"/>
  <c r="I73" i="2"/>
  <c r="H73" i="2"/>
  <c r="I72" i="2"/>
  <c r="H72" i="2"/>
  <c r="I69" i="2"/>
  <c r="H69" i="2"/>
  <c r="I68" i="2"/>
  <c r="H68" i="2"/>
  <c r="I67" i="2"/>
  <c r="H67" i="2"/>
  <c r="I66" i="2"/>
  <c r="H66" i="2"/>
  <c r="I65" i="2"/>
  <c r="H65" i="2"/>
  <c r="I64" i="2"/>
  <c r="H64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6" i="2"/>
  <c r="H56" i="2"/>
  <c r="I55" i="2"/>
  <c r="H55" i="2"/>
  <c r="I54" i="2"/>
  <c r="H54" i="2"/>
  <c r="I53" i="2"/>
  <c r="H53" i="2"/>
  <c r="I52" i="2"/>
  <c r="H52" i="2"/>
  <c r="I51" i="2"/>
  <c r="H51" i="2"/>
  <c r="I50" i="2"/>
  <c r="H50" i="2"/>
  <c r="I48" i="2"/>
  <c r="H48" i="2"/>
  <c r="I47" i="2"/>
  <c r="H47" i="2"/>
  <c r="I46" i="2"/>
  <c r="H46" i="2"/>
  <c r="I45" i="2"/>
  <c r="H45" i="2"/>
  <c r="I44" i="2"/>
  <c r="H44" i="2"/>
  <c r="I43" i="2"/>
  <c r="H43" i="2"/>
  <c r="I42" i="2"/>
  <c r="H42" i="2"/>
  <c r="I41" i="2"/>
  <c r="H41" i="2"/>
  <c r="I40" i="2"/>
  <c r="H40" i="2"/>
  <c r="I37" i="2"/>
  <c r="H37" i="2"/>
  <c r="I36" i="2"/>
  <c r="H36" i="2"/>
  <c r="I35" i="2"/>
  <c r="H35" i="2"/>
  <c r="I34" i="2"/>
  <c r="H34" i="2"/>
  <c r="I31" i="2"/>
  <c r="H31" i="2"/>
  <c r="I30" i="2"/>
  <c r="H30" i="2"/>
  <c r="I29" i="2"/>
  <c r="H29" i="2"/>
  <c r="I28" i="2"/>
  <c r="H28" i="2"/>
  <c r="I25" i="2"/>
  <c r="H25" i="2"/>
  <c r="I24" i="2"/>
  <c r="H24" i="2"/>
  <c r="I21" i="2"/>
  <c r="H21" i="2"/>
  <c r="I20" i="2"/>
  <c r="H20" i="2"/>
  <c r="I18" i="2"/>
  <c r="H18" i="2"/>
  <c r="I12" i="2"/>
  <c r="H12" i="2"/>
  <c r="I8" i="2"/>
  <c r="H8" i="2"/>
  <c r="H6" i="2"/>
  <c r="I6" i="2"/>
  <c r="U28" i="4" l="1"/>
  <c r="AS28" i="4" s="1"/>
  <c r="AT28" i="4" s="1"/>
  <c r="X28" i="4" s="1"/>
  <c r="Y58" i="4"/>
  <c r="AA58" i="4" s="1"/>
  <c r="AC58" i="4" s="1"/>
  <c r="X52" i="4"/>
  <c r="W52" i="4"/>
  <c r="AU52" i="4"/>
  <c r="AB52" i="4" s="1"/>
  <c r="AI52" i="4" s="1"/>
  <c r="X46" i="4"/>
  <c r="W46" i="4"/>
  <c r="AU46" i="4"/>
  <c r="AB46" i="4" s="1"/>
  <c r="AI46" i="4" s="1"/>
  <c r="Y40" i="4"/>
  <c r="AA40" i="4" s="1"/>
  <c r="AC40" i="4" s="1"/>
  <c r="AU34" i="4"/>
  <c r="AB34" i="4" s="1"/>
  <c r="AI34" i="4" s="1"/>
  <c r="X34" i="4"/>
  <c r="W34" i="4"/>
  <c r="AP56" i="4"/>
  <c r="AP38" i="4"/>
  <c r="AP50" i="4"/>
  <c r="AP24" i="4"/>
  <c r="AP48" i="4"/>
  <c r="AP54" i="4"/>
  <c r="AP32" i="4"/>
  <c r="AP42" i="4"/>
  <c r="AP44" i="4"/>
  <c r="AP60" i="4"/>
  <c r="AP18" i="4"/>
  <c r="AP36" i="4"/>
  <c r="AP26" i="4"/>
  <c r="AP20" i="4"/>
  <c r="AP30" i="4"/>
  <c r="AQ56" i="4"/>
  <c r="AQ38" i="4"/>
  <c r="AQ44" i="4"/>
  <c r="AQ54" i="4"/>
  <c r="AQ48" i="4"/>
  <c r="AQ50" i="4"/>
  <c r="AQ60" i="4"/>
  <c r="AQ26" i="4"/>
  <c r="AQ36" i="4"/>
  <c r="AQ32" i="4"/>
  <c r="AQ42" i="4"/>
  <c r="AQ20" i="4"/>
  <c r="AQ24" i="4"/>
  <c r="AQ18" i="4"/>
  <c r="AQ30" i="4"/>
  <c r="T18" i="4"/>
  <c r="U18" i="4" s="1"/>
  <c r="Z40" i="4" l="1"/>
  <c r="AU28" i="4"/>
  <c r="AB28" i="4" s="1"/>
  <c r="AI28" i="4" s="1"/>
  <c r="W28" i="4"/>
  <c r="Y28" i="4" s="1"/>
  <c r="AA28" i="4" s="1"/>
  <c r="AC28" i="4" s="1"/>
  <c r="U22" i="4"/>
  <c r="AS22" i="4" s="1"/>
  <c r="AT22" i="4" s="1"/>
  <c r="Z58" i="4"/>
  <c r="Y52" i="4"/>
  <c r="AA52" i="4" s="1"/>
  <c r="AC52" i="4" s="1"/>
  <c r="Y46" i="4"/>
  <c r="AA46" i="4" s="1"/>
  <c r="AC46" i="4" s="1"/>
  <c r="Y34" i="4"/>
  <c r="AA34" i="4" s="1"/>
  <c r="AC34" i="4" s="1"/>
  <c r="AB24" i="4"/>
  <c r="W24" i="4" s="1"/>
  <c r="AB44" i="4"/>
  <c r="AI44" i="4" s="1"/>
  <c r="AB26" i="4"/>
  <c r="X26" i="4" s="1"/>
  <c r="AB48" i="4"/>
  <c r="AI48" i="4" s="1"/>
  <c r="AB20" i="4"/>
  <c r="W20" i="4" s="1"/>
  <c r="AB54" i="4"/>
  <c r="AI54" i="4" s="1"/>
  <c r="AB36" i="4"/>
  <c r="AB50" i="4"/>
  <c r="AB60" i="4"/>
  <c r="AB38" i="4"/>
  <c r="AB42" i="4"/>
  <c r="AB56" i="4"/>
  <c r="AB30" i="4"/>
  <c r="AB32" i="4"/>
  <c r="AB18" i="4"/>
  <c r="X18" i="4" s="1"/>
  <c r="Z52" i="4" l="1"/>
  <c r="Z28" i="4"/>
  <c r="W22" i="4"/>
  <c r="X22" i="4"/>
  <c r="AU22" i="4"/>
  <c r="AB22" i="4" s="1"/>
  <c r="AI22" i="4" s="1"/>
  <c r="Z46" i="4"/>
  <c r="Z34" i="4"/>
  <c r="AI24" i="4"/>
  <c r="X24" i="4"/>
  <c r="Y24" i="4" s="1"/>
  <c r="AA24" i="4" s="1"/>
  <c r="AC24" i="4" s="1"/>
  <c r="AI26" i="4"/>
  <c r="W26" i="4"/>
  <c r="Y26" i="4" s="1"/>
  <c r="AA26" i="4" s="1"/>
  <c r="AC26" i="4" s="1"/>
  <c r="X44" i="4"/>
  <c r="W44" i="4"/>
  <c r="AI20" i="4"/>
  <c r="X54" i="4"/>
  <c r="X20" i="4"/>
  <c r="Y20" i="4" s="1"/>
  <c r="AA20" i="4" s="1"/>
  <c r="AC20" i="4" s="1"/>
  <c r="W48" i="4"/>
  <c r="W54" i="4"/>
  <c r="X48" i="4"/>
  <c r="AI36" i="4"/>
  <c r="W36" i="4"/>
  <c r="X36" i="4"/>
  <c r="AI60" i="4"/>
  <c r="X60" i="4"/>
  <c r="W60" i="4"/>
  <c r="W50" i="4"/>
  <c r="X50" i="4"/>
  <c r="AI50" i="4"/>
  <c r="W42" i="4"/>
  <c r="AI42" i="4"/>
  <c r="X42" i="4"/>
  <c r="X32" i="4"/>
  <c r="W32" i="4"/>
  <c r="AI32" i="4"/>
  <c r="AI30" i="4"/>
  <c r="X30" i="4"/>
  <c r="W30" i="4"/>
  <c r="X56" i="4"/>
  <c r="AI56" i="4"/>
  <c r="W56" i="4"/>
  <c r="AI38" i="4"/>
  <c r="W38" i="4"/>
  <c r="X38" i="4"/>
  <c r="AI18" i="4"/>
  <c r="W18" i="4"/>
  <c r="Y22" i="4" l="1"/>
  <c r="AA22" i="4" s="1"/>
  <c r="AC22" i="4" s="1"/>
  <c r="Z22" i="4"/>
  <c r="Y38" i="4"/>
  <c r="AA38" i="4" s="1"/>
  <c r="AC38" i="4" s="1"/>
  <c r="Y44" i="4"/>
  <c r="AA44" i="4" s="1"/>
  <c r="AC44" i="4" s="1"/>
  <c r="Z24" i="4"/>
  <c r="AD24" i="4"/>
  <c r="Y54" i="4"/>
  <c r="AA54" i="4" s="1"/>
  <c r="AC54" i="4" s="1"/>
  <c r="Y48" i="4"/>
  <c r="AA48" i="4" s="1"/>
  <c r="AC48" i="4" s="1"/>
  <c r="Y32" i="4"/>
  <c r="AA32" i="4" s="1"/>
  <c r="AC32" i="4" s="1"/>
  <c r="AD26" i="4"/>
  <c r="Z26" i="4"/>
  <c r="AD20" i="4"/>
  <c r="Z20" i="4"/>
  <c r="Y60" i="4"/>
  <c r="AA60" i="4" s="1"/>
  <c r="AC60" i="4" s="1"/>
  <c r="Y36" i="4"/>
  <c r="AA36" i="4" s="1"/>
  <c r="AC36" i="4" s="1"/>
  <c r="Y42" i="4"/>
  <c r="Y50" i="4"/>
  <c r="AA50" i="4" s="1"/>
  <c r="AC50" i="4" s="1"/>
  <c r="AD38" i="4"/>
  <c r="Z38" i="4"/>
  <c r="Y56" i="4"/>
  <c r="AA56" i="4" s="1"/>
  <c r="AC56" i="4" s="1"/>
  <c r="Y30" i="4"/>
  <c r="Y18" i="4"/>
  <c r="Z18" i="4" s="1"/>
  <c r="Z54" i="4" l="1"/>
  <c r="AD44" i="4"/>
  <c r="Z44" i="4"/>
  <c r="AD54" i="4"/>
  <c r="AD56" i="4"/>
  <c r="Z48" i="4"/>
  <c r="AD48" i="4"/>
  <c r="AD32" i="4"/>
  <c r="Z32" i="4"/>
  <c r="Z60" i="4"/>
  <c r="AD60" i="4"/>
  <c r="Z56" i="4"/>
  <c r="AD36" i="4"/>
  <c r="Z36" i="4"/>
  <c r="Z50" i="4"/>
  <c r="AA42" i="4"/>
  <c r="AC42" i="4" s="1"/>
  <c r="Z42" i="4"/>
  <c r="AD42" i="4"/>
  <c r="AA30" i="4"/>
  <c r="AC30" i="4" s="1"/>
  <c r="Z30" i="4"/>
  <c r="AD30" i="4"/>
  <c r="AD50" i="4"/>
  <c r="AD18" i="4"/>
  <c r="AA18" i="4"/>
  <c r="AC18" i="4" s="1"/>
</calcChain>
</file>

<file path=xl/sharedStrings.xml><?xml version="1.0" encoding="utf-8"?>
<sst xmlns="http://schemas.openxmlformats.org/spreadsheetml/2006/main" count="625" uniqueCount="272">
  <si>
    <t>ESTAQUEAMENTO</t>
  </si>
  <si>
    <t>a</t>
  </si>
  <si>
    <t>+</t>
  </si>
  <si>
    <t>BACIA LOCAL</t>
  </si>
  <si>
    <t>CONTRIBUIÇÃO LOCAL</t>
  </si>
  <si>
    <t>DEFLÚVIO</t>
  </si>
  <si>
    <t>Coef.</t>
  </si>
  <si>
    <t>ÁREA</t>
  </si>
  <si>
    <t>COEF.</t>
  </si>
  <si>
    <t>TEMPO</t>
  </si>
  <si>
    <t>INT.</t>
  </si>
  <si>
    <t>A</t>
  </si>
  <si>
    <t>Imperm.</t>
  </si>
  <si>
    <t>PISTA</t>
  </si>
  <si>
    <t>TERRENO</t>
  </si>
  <si>
    <t>IMPER.</t>
  </si>
  <si>
    <t>TOTAL</t>
  </si>
  <si>
    <t>CONC.</t>
  </si>
  <si>
    <t>PLUV.</t>
  </si>
  <si>
    <t>LOCAL</t>
  </si>
  <si>
    <t>ESCOAR</t>
  </si>
  <si>
    <t>(ha)</t>
  </si>
  <si>
    <t>Total</t>
  </si>
  <si>
    <t>(min.)</t>
  </si>
  <si>
    <t>(mm/h)</t>
  </si>
  <si>
    <t>(l/s)</t>
  </si>
  <si>
    <t>DEFLÚVIOS  A ESCOAR</t>
  </si>
  <si>
    <t>CAPACIDADE DAS SARJETAS E VALETAS</t>
  </si>
  <si>
    <t>DECLIVIDADE</t>
  </si>
  <si>
    <t>ÁREA MOLHADA</t>
  </si>
  <si>
    <t>PERÍMETRO MOLHADO</t>
  </si>
  <si>
    <t>RAIO HIDRÁULICO</t>
  </si>
  <si>
    <t>VELOCIDADE</t>
  </si>
  <si>
    <t>TEMPO DE PERCURSO</t>
  </si>
  <si>
    <t>BASE MAIOR</t>
  </si>
  <si>
    <t>BASE MENOR</t>
  </si>
  <si>
    <t>ALTURA</t>
  </si>
  <si>
    <t>(m/m)</t>
  </si>
  <si>
    <t>(m²)</t>
  </si>
  <si>
    <t>(m)</t>
  </si>
  <si>
    <t>(m/s)</t>
  </si>
  <si>
    <t>PROJETO:</t>
  </si>
  <si>
    <t>DISPOSITIVO PROJETADO</t>
  </si>
  <si>
    <t>TIPO</t>
  </si>
  <si>
    <t>Tipo</t>
  </si>
  <si>
    <t>Dimensões</t>
  </si>
  <si>
    <t>Extensão</t>
  </si>
  <si>
    <t>-</t>
  </si>
  <si>
    <t>m</t>
  </si>
  <si>
    <t>VPC-01</t>
  </si>
  <si>
    <t>VPC-02</t>
  </si>
  <si>
    <t>VPC-03</t>
  </si>
  <si>
    <t>VPC-04</t>
  </si>
  <si>
    <t>VPA-01</t>
  </si>
  <si>
    <t>VPA-02</t>
  </si>
  <si>
    <t>VPA-03</t>
  </si>
  <si>
    <t>VPA-04</t>
  </si>
  <si>
    <t>STC-01</t>
  </si>
  <si>
    <t>STC-02</t>
  </si>
  <si>
    <t>STC-03</t>
  </si>
  <si>
    <t>STC-04</t>
  </si>
  <si>
    <t>STC-05</t>
  </si>
  <si>
    <t>STC-06</t>
  </si>
  <si>
    <t>STC-07</t>
  </si>
  <si>
    <t>STC-08</t>
  </si>
  <si>
    <t>STG-01</t>
  </si>
  <si>
    <t>STG-02</t>
  </si>
  <si>
    <t>STG-03</t>
  </si>
  <si>
    <t>STG-04</t>
  </si>
  <si>
    <t>SZC-01</t>
  </si>
  <si>
    <t>SZC-02</t>
  </si>
  <si>
    <t>SZG-01</t>
  </si>
  <si>
    <t>SZG-02</t>
  </si>
  <si>
    <t>SCC-01</t>
  </si>
  <si>
    <t>SCC-02</t>
  </si>
  <si>
    <t>SCC-03</t>
  </si>
  <si>
    <t>SCC-04</t>
  </si>
  <si>
    <t>SRC-01</t>
  </si>
  <si>
    <t>SRC-02</t>
  </si>
  <si>
    <t>SRC-03</t>
  </si>
  <si>
    <t>SRC-04</t>
  </si>
  <si>
    <t>SRC-05</t>
  </si>
  <si>
    <t>SRC-06</t>
  </si>
  <si>
    <t>SRC-07</t>
  </si>
  <si>
    <t>SRC-08</t>
  </si>
  <si>
    <t>MFC-01</t>
  </si>
  <si>
    <t>MFC-02</t>
  </si>
  <si>
    <t>MFC-03</t>
  </si>
  <si>
    <t>MFC-04</t>
  </si>
  <si>
    <t>MFC-05</t>
  </si>
  <si>
    <t>MFC-06</t>
  </si>
  <si>
    <t>MFC-07</t>
  </si>
  <si>
    <t>MFC-08</t>
  </si>
  <si>
    <t>n</t>
  </si>
  <si>
    <t>CBUQ</t>
  </si>
  <si>
    <t>DIMENSÕES</t>
  </si>
  <si>
    <t>FORMA</t>
  </si>
  <si>
    <t>Grama</t>
  </si>
  <si>
    <t>Concreto</t>
  </si>
  <si>
    <t>Trapezoidal</t>
  </si>
  <si>
    <t>Triangular</t>
  </si>
  <si>
    <t>Retangular</t>
  </si>
  <si>
    <t>SMC-01</t>
  </si>
  <si>
    <t>SMC-02</t>
  </si>
  <si>
    <t>SMC-03</t>
  </si>
  <si>
    <t>SMC-04</t>
  </si>
  <si>
    <t>SMC-05</t>
  </si>
  <si>
    <t>SMC-06</t>
  </si>
  <si>
    <t>Circular</t>
  </si>
  <si>
    <t>COEF. MANNING</t>
  </si>
  <si>
    <t>B</t>
  </si>
  <si>
    <t>b</t>
  </si>
  <si>
    <t>H</t>
  </si>
  <si>
    <t>SRC-09</t>
  </si>
  <si>
    <t>SRC-10</t>
  </si>
  <si>
    <t>SRC-11</t>
  </si>
  <si>
    <t>SRC-12</t>
  </si>
  <si>
    <t>SRC-13</t>
  </si>
  <si>
    <t>SRC-14</t>
  </si>
  <si>
    <t>SRC-15</t>
  </si>
  <si>
    <t>SRC-16</t>
  </si>
  <si>
    <t>SRC-17</t>
  </si>
  <si>
    <t>SRC-18</t>
  </si>
  <si>
    <t>SRC-19</t>
  </si>
  <si>
    <t>SRC-20</t>
  </si>
  <si>
    <t>SRC-21</t>
  </si>
  <si>
    <t>CARACTERÍSTICAS</t>
  </si>
  <si>
    <t>QUADRO DOS TIPOS DE DISPOSITIVOS DE DRENAGEM SUPERFICIAL LONGITUDINAL</t>
  </si>
  <si>
    <t>INCLINA-ÇÃO DO TALUDE</t>
  </si>
  <si>
    <t>REVESTI-MENTO</t>
  </si>
  <si>
    <t>- 0,70 x 0,30</t>
  </si>
  <si>
    <t>- 0,50 x 0,30</t>
  </si>
  <si>
    <t>- 0,50 x 0,20</t>
  </si>
  <si>
    <t>- 1,00 x 0,25</t>
  </si>
  <si>
    <t>- 1,00 x 0,30</t>
  </si>
  <si>
    <t>- 0,60 x 0,30</t>
  </si>
  <si>
    <t>- 0,20 x 0,20</t>
  </si>
  <si>
    <t>- 0,30 x 0,30</t>
  </si>
  <si>
    <t>- 1,40 x 0,35</t>
  </si>
  <si>
    <t>- 0,50 x 0,25</t>
  </si>
  <si>
    <t>- 0,70 x 0,35</t>
  </si>
  <si>
    <t>- 0,40 x 0,30</t>
  </si>
  <si>
    <t>- 0,40 x 0,40</t>
  </si>
  <si>
    <t>- 0,50 x 0,40</t>
  </si>
  <si>
    <t>SRC-22</t>
  </si>
  <si>
    <t>SRC-23</t>
  </si>
  <si>
    <t>SRC-24</t>
  </si>
  <si>
    <t>SRC-25</t>
  </si>
  <si>
    <t>SRC-26</t>
  </si>
  <si>
    <t>SRC-27</t>
  </si>
  <si>
    <t>SRC-28</t>
  </si>
  <si>
    <t>- 0,30 x 0,40</t>
  </si>
  <si>
    <t>- 0,60 x 0,40</t>
  </si>
  <si>
    <t>- 0,70 x 0,40</t>
  </si>
  <si>
    <t>- 0,80 x 0,40</t>
  </si>
  <si>
    <t>- 0,40 x 0,60</t>
  </si>
  <si>
    <t>- 0,50 x 0,60</t>
  </si>
  <si>
    <t>- 0,60 x 0,60</t>
  </si>
  <si>
    <t>- 0,70 x 0,60</t>
  </si>
  <si>
    <t>- 0,80 x 0,60</t>
  </si>
  <si>
    <t>- 1,00 x 0,60</t>
  </si>
  <si>
    <t>- 0,50 x 0,80</t>
  </si>
  <si>
    <t>- 0,80 x 0,80</t>
  </si>
  <si>
    <t>- 0,70 x 0,80</t>
  </si>
  <si>
    <t>- 1,00 x 0,80</t>
  </si>
  <si>
    <t>- 0,60 x 0,80</t>
  </si>
  <si>
    <t>- 0,60 x 1,00</t>
  </si>
  <si>
    <t>- 0,70 x 1,00</t>
  </si>
  <si>
    <t>- 1,00 x 1,00</t>
  </si>
  <si>
    <t>- 0,80 x 1,00</t>
  </si>
  <si>
    <t>- 1,20 x 1,00</t>
  </si>
  <si>
    <t>- 0,80 x 1,20</t>
  </si>
  <si>
    <t>- 1,00 x 1,20</t>
  </si>
  <si>
    <t>- 1,20 x 1,20</t>
  </si>
  <si>
    <t>- 1,50 x 1,20</t>
  </si>
  <si>
    <t>- 0,50 x 0,05</t>
  </si>
  <si>
    <t>- 0,13 x 0,02</t>
  </si>
  <si>
    <t>- Ø 0,30</t>
  </si>
  <si>
    <t>- Ø 0,40</t>
  </si>
  <si>
    <t>- Ø 0,50</t>
  </si>
  <si>
    <t>- Ø 0,60</t>
  </si>
  <si>
    <t>- Ø 0,70</t>
  </si>
  <si>
    <t>- Ø 0,80</t>
  </si>
  <si>
    <t>REVEST.</t>
  </si>
  <si>
    <t>CONTRATANTE</t>
  </si>
  <si>
    <t>DATA</t>
  </si>
  <si>
    <t>REVISÃO</t>
  </si>
  <si>
    <t>PLUVIÓGRAFO</t>
  </si>
  <si>
    <t>TEMPO DE RECORRÊNCIA</t>
  </si>
  <si>
    <t>LOCALIZAÇÃO</t>
  </si>
  <si>
    <t>DISPOSITIVO DE DRENAGEM</t>
  </si>
  <si>
    <t>VPA-05</t>
  </si>
  <si>
    <t>VPA-06</t>
  </si>
  <si>
    <t>- 1,00 x 0,50</t>
  </si>
  <si>
    <t>VPA-07</t>
  </si>
  <si>
    <t>- 1,50 x 1,00</t>
  </si>
  <si>
    <t>VPA-08</t>
  </si>
  <si>
    <t>VPA-09</t>
  </si>
  <si>
    <t>VPA-10</t>
  </si>
  <si>
    <t>MFC-09</t>
  </si>
  <si>
    <t>DCD-02</t>
  </si>
  <si>
    <t>DCD-04</t>
  </si>
  <si>
    <t>- ESCADA</t>
  </si>
  <si>
    <t>DAD-02</t>
  </si>
  <si>
    <t>DAD-04</t>
  </si>
  <si>
    <t>- 2,50 x 1,20</t>
  </si>
  <si>
    <t>PLUVIO 2.1</t>
  </si>
  <si>
    <t>- 0,50 x 0,12</t>
  </si>
  <si>
    <t>- 1,50 x 0,50</t>
  </si>
  <si>
    <t>DCD-06</t>
  </si>
  <si>
    <t>PLANILHA:</t>
  </si>
  <si>
    <t>OBSERVAÇÕES</t>
  </si>
  <si>
    <t>SCG-01</t>
  </si>
  <si>
    <t>SCG-02</t>
  </si>
  <si>
    <t>ESTUDO HIDROLÓGICO E DIMENSIONAMENTO HIDRÁULICO DA DRENAGEM LONGITUDINAL</t>
  </si>
  <si>
    <t>SRC-29</t>
  </si>
  <si>
    <t>LÂMINA DE ÁGUA</t>
  </si>
  <si>
    <t>DAD-06</t>
  </si>
  <si>
    <t>K</t>
  </si>
  <si>
    <t>c</t>
  </si>
  <si>
    <t>CRÍTICO</t>
  </si>
  <si>
    <t>COMPR.</t>
  </si>
  <si>
    <t>COTA</t>
  </si>
  <si>
    <t>MONTANTE</t>
  </si>
  <si>
    <t xml:space="preserve">COTA </t>
  </si>
  <si>
    <t>JUSANTE</t>
  </si>
  <si>
    <t>LARGURA</t>
  </si>
  <si>
    <t>IMPLUVIO</t>
  </si>
  <si>
    <t>IDENTIF.</t>
  </si>
  <si>
    <t>DA</t>
  </si>
  <si>
    <t>SARJETA</t>
  </si>
  <si>
    <t>z</t>
  </si>
  <si>
    <t>d</t>
  </si>
  <si>
    <t>sigma</t>
  </si>
  <si>
    <t>CPRM</t>
  </si>
  <si>
    <t xml:space="preserve">i (mm/h)= </t>
  </si>
  <si>
    <t>BSTC</t>
  </si>
  <si>
    <t>BSTC 60</t>
  </si>
  <si>
    <t>BSTC 80</t>
  </si>
  <si>
    <t>BSTC 100</t>
  </si>
  <si>
    <t>VERIFICADOR ALTURA D'ÁGUA</t>
  </si>
  <si>
    <t>Constante</t>
  </si>
  <si>
    <t>Ângulo</t>
  </si>
  <si>
    <t>Prof</t>
  </si>
  <si>
    <t>θ</t>
  </si>
  <si>
    <t>Normal</t>
  </si>
  <si>
    <t>Yn</t>
  </si>
  <si>
    <t>(rad)</t>
  </si>
  <si>
    <t>VAZÃO CALCULADA</t>
  </si>
  <si>
    <t>A implantar</t>
  </si>
  <si>
    <t>critério y0</t>
  </si>
  <si>
    <t>BSTC 40</t>
  </si>
  <si>
    <t>RESPONSÁVEL TÉCNICO</t>
  </si>
  <si>
    <t>ESTRADA DA VENDINHA</t>
  </si>
  <si>
    <t>Parâmetros IDF Plúvio 2.1 - Rio Claro/RJ</t>
  </si>
  <si>
    <t>STC 80-17</t>
  </si>
  <si>
    <t>- 0,80 x 0,17</t>
  </si>
  <si>
    <t>PREFEITURA MUNICIPAL DE RIO CLARO/RJ</t>
  </si>
  <si>
    <t>EDA-08B</t>
  </si>
  <si>
    <t>STC 100-20</t>
  </si>
  <si>
    <t>- 1,00 x 0,20</t>
  </si>
  <si>
    <t>1.1 (ESQ.)</t>
  </si>
  <si>
    <t>1.1 (DIR.)</t>
  </si>
  <si>
    <t>1.2 (ESQ.)</t>
  </si>
  <si>
    <t>1.2 (DIR.)</t>
  </si>
  <si>
    <t>CSS 200-80A (UN)</t>
  </si>
  <si>
    <t>TSS 120 (M)</t>
  </si>
  <si>
    <t>BSTC 80 (M)</t>
  </si>
  <si>
    <t>DEB 240-316 (UN)</t>
  </si>
  <si>
    <t>EDA-01B (UN)</t>
  </si>
  <si>
    <t>EDA-08B (UN)</t>
  </si>
  <si>
    <t>ANÁLISE SUBPROJ/SECID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</si>
</sst>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0.0"/>
    <numFmt numFmtId="165" formatCode="#,##0.000"/>
    <numFmt numFmtId="166" formatCode="0.000"/>
    <numFmt numFmtId="167" formatCode="&quot;Tr =&quot;\ 0\ &quot;anos&quot;"/>
    <numFmt numFmtId="168" formatCode="0.00000"/>
    <numFmt numFmtId="169" formatCode="0&quot; ANOS&quot;"/>
    <numFmt numFmtId="170" formatCode="0.0000"/>
    <numFmt numFmtId="171" formatCode="0.0000000"/>
    <numFmt numFmtId="172" formatCode="00"/>
    <numFmt numFmtId="173" formatCode="mmmm\,\ yyyy;@"/>
    <numFmt numFmtId="174" formatCode="_(* #,##0.00_);_(* \(#,##0.00\);_(* &quot;-&quot;??_);_(@_)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indexed="50"/>
      <name val="Calibri"/>
      <family val="2"/>
      <scheme val="minor"/>
    </font>
    <font>
      <i/>
      <sz val="10"/>
      <name val="Calibri"/>
      <family val="2"/>
      <scheme val="minor"/>
    </font>
    <font>
      <sz val="11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2" fillId="0" borderId="0"/>
    <xf numFmtId="174" fontId="1" fillId="0" borderId="0" applyFont="0" applyFill="0" applyBorder="0" applyAlignment="0" applyProtection="0"/>
  </cellStyleXfs>
  <cellXfs count="184">
    <xf numFmtId="0" fontId="0" fillId="0" borderId="0" xfId="0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0" fontId="3" fillId="0" borderId="0" xfId="0" applyFont="1"/>
    <xf numFmtId="0" fontId="3" fillId="0" borderId="0" xfId="0" quotePrefix="1" applyFont="1"/>
    <xf numFmtId="0" fontId="3" fillId="0" borderId="3" xfId="0" applyFont="1" applyBorder="1" applyAlignment="1">
      <alignment horizontal="center"/>
    </xf>
    <xf numFmtId="166" fontId="3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16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0" xfId="0" applyFont="1" applyFill="1"/>
    <xf numFmtId="0" fontId="3" fillId="2" borderId="0" xfId="0" quotePrefix="1" applyFont="1" applyFill="1"/>
    <xf numFmtId="0" fontId="1" fillId="2" borderId="3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166" fontId="1" fillId="0" borderId="5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0" fontId="6" fillId="0" borderId="0" xfId="0" applyFont="1"/>
    <xf numFmtId="0" fontId="7" fillId="3" borderId="16" xfId="0" applyFont="1" applyFill="1" applyBorder="1"/>
    <xf numFmtId="0" fontId="7" fillId="3" borderId="17" xfId="0" applyFont="1" applyFill="1" applyBorder="1"/>
    <xf numFmtId="0" fontId="6" fillId="0" borderId="17" xfId="0" applyFont="1" applyBorder="1"/>
    <xf numFmtId="0" fontId="6" fillId="0" borderId="18" xfId="0" applyFont="1" applyBorder="1"/>
    <xf numFmtId="0" fontId="6" fillId="0" borderId="0" xfId="0" applyFont="1" applyAlignment="1">
      <alignment horizontal="left" indent="1"/>
    </xf>
    <xf numFmtId="0" fontId="6" fillId="0" borderId="0" xfId="0" applyFont="1" applyAlignment="1">
      <alignment vertical="center"/>
    </xf>
    <xf numFmtId="0" fontId="6" fillId="0" borderId="20" xfId="0" applyFont="1" applyBorder="1"/>
    <xf numFmtId="0" fontId="6" fillId="0" borderId="0" xfId="0" applyFont="1" applyAlignment="1">
      <alignment horizontal="left" vertical="center" indent="1"/>
    </xf>
    <xf numFmtId="0" fontId="7" fillId="0" borderId="0" xfId="0" applyFont="1" applyAlignment="1">
      <alignment vertical="top"/>
    </xf>
    <xf numFmtId="0" fontId="6" fillId="0" borderId="22" xfId="0" applyFont="1" applyBorder="1"/>
    <xf numFmtId="0" fontId="6" fillId="0" borderId="23" xfId="0" applyFont="1" applyBorder="1"/>
    <xf numFmtId="0" fontId="8" fillId="6" borderId="0" xfId="0" applyFont="1" applyFill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43" fontId="7" fillId="0" borderId="2" xfId="2" applyFont="1" applyFill="1" applyBorder="1" applyAlignment="1">
      <alignment horizontal="center" vertical="center" wrapText="1"/>
    </xf>
    <xf numFmtId="43" fontId="7" fillId="0" borderId="0" xfId="2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2" fontId="6" fillId="0" borderId="0" xfId="0" applyNumberFormat="1" applyFont="1"/>
    <xf numFmtId="9" fontId="6" fillId="0" borderId="0" xfId="1" applyFont="1" applyFill="1"/>
    <xf numFmtId="2" fontId="6" fillId="0" borderId="10" xfId="0" applyNumberFormat="1" applyFont="1" applyBorder="1" applyAlignment="1">
      <alignment horizontal="center"/>
    </xf>
    <xf numFmtId="166" fontId="6" fillId="0" borderId="10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71" fontId="6" fillId="0" borderId="10" xfId="0" applyNumberFormat="1" applyFont="1" applyBorder="1" applyAlignment="1">
      <alignment horizontal="center"/>
    </xf>
    <xf numFmtId="168" fontId="6" fillId="0" borderId="10" xfId="0" applyNumberFormat="1" applyFont="1" applyBorder="1" applyAlignment="1">
      <alignment horizontal="center"/>
    </xf>
    <xf numFmtId="0" fontId="6" fillId="0" borderId="10" xfId="0" applyFont="1" applyBorder="1"/>
    <xf numFmtId="0" fontId="6" fillId="0" borderId="10" xfId="0" applyFont="1" applyBorder="1" applyAlignment="1">
      <alignment horizontal="right"/>
    </xf>
    <xf numFmtId="0" fontId="6" fillId="0" borderId="10" xfId="0" applyFont="1" applyBorder="1" applyAlignment="1">
      <alignment horizontal="left"/>
    </xf>
    <xf numFmtId="2" fontId="6" fillId="0" borderId="11" xfId="0" applyNumberFormat="1" applyFont="1" applyBorder="1" applyAlignment="1">
      <alignment horizontal="center"/>
    </xf>
    <xf numFmtId="166" fontId="6" fillId="0" borderId="11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166" fontId="6" fillId="0" borderId="3" xfId="0" applyNumberFormat="1" applyFont="1" applyBorder="1" applyAlignment="1">
      <alignment horizontal="center"/>
    </xf>
    <xf numFmtId="0" fontId="6" fillId="0" borderId="9" xfId="0" applyFont="1" applyBorder="1" applyAlignment="1">
      <alignment horizontal="right"/>
    </xf>
    <xf numFmtId="0" fontId="6" fillId="0" borderId="11" xfId="0" applyFont="1" applyBorder="1" applyAlignment="1">
      <alignment horizontal="left"/>
    </xf>
    <xf numFmtId="0" fontId="6" fillId="4" borderId="10" xfId="0" applyFont="1" applyFill="1" applyBorder="1" applyAlignment="1">
      <alignment horizontal="center"/>
    </xf>
    <xf numFmtId="2" fontId="6" fillId="4" borderId="10" xfId="0" applyNumberFormat="1" applyFont="1" applyFill="1" applyBorder="1" applyAlignment="1">
      <alignment horizontal="center"/>
    </xf>
    <xf numFmtId="2" fontId="6" fillId="4" borderId="11" xfId="0" applyNumberFormat="1" applyFont="1" applyFill="1" applyBorder="1" applyAlignment="1">
      <alignment horizontal="center"/>
    </xf>
    <xf numFmtId="166" fontId="6" fillId="4" borderId="9" xfId="0" applyNumberFormat="1" applyFont="1" applyFill="1" applyBorder="1" applyAlignment="1">
      <alignment horizontal="center"/>
    </xf>
    <xf numFmtId="166" fontId="6" fillId="4" borderId="10" xfId="0" applyNumberFormat="1" applyFont="1" applyFill="1" applyBorder="1" applyAlignment="1">
      <alignment horizontal="center"/>
    </xf>
    <xf numFmtId="164" fontId="6" fillId="4" borderId="10" xfId="0" applyNumberFormat="1" applyFont="1" applyFill="1" applyBorder="1" applyAlignment="1">
      <alignment horizontal="center"/>
    </xf>
    <xf numFmtId="164" fontId="6" fillId="4" borderId="11" xfId="0" applyNumberFormat="1" applyFont="1" applyFill="1" applyBorder="1" applyAlignment="1">
      <alignment horizontal="center"/>
    </xf>
    <xf numFmtId="164" fontId="6" fillId="4" borderId="3" xfId="0" applyNumberFormat="1" applyFont="1" applyFill="1" applyBorder="1" applyAlignment="1">
      <alignment horizontal="center"/>
    </xf>
    <xf numFmtId="168" fontId="6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6" fillId="0" borderId="13" xfId="0" applyFont="1" applyBorder="1"/>
    <xf numFmtId="0" fontId="6" fillId="0" borderId="14" xfId="0" applyFont="1" applyBorder="1"/>
    <xf numFmtId="0" fontId="6" fillId="0" borderId="4" xfId="0" applyFont="1" applyBorder="1"/>
    <xf numFmtId="0" fontId="6" fillId="0" borderId="6" xfId="0" applyFont="1" applyBorder="1"/>
    <xf numFmtId="0" fontId="6" fillId="0" borderId="5" xfId="0" applyFont="1" applyBorder="1"/>
    <xf numFmtId="0" fontId="6" fillId="0" borderId="4" xfId="0" applyFont="1" applyBorder="1" applyAlignment="1">
      <alignment horizontal="center"/>
    </xf>
    <xf numFmtId="0" fontId="6" fillId="0" borderId="7" xfId="0" applyFont="1" applyBorder="1"/>
    <xf numFmtId="0" fontId="6" fillId="0" borderId="15" xfId="0" applyFont="1" applyBorder="1"/>
    <xf numFmtId="0" fontId="6" fillId="0" borderId="8" xfId="0" applyFont="1" applyBorder="1"/>
    <xf numFmtId="0" fontId="6" fillId="0" borderId="2" xfId="0" applyFont="1" applyBorder="1"/>
    <xf numFmtId="0" fontId="9" fillId="0" borderId="0" xfId="0" applyFont="1" applyAlignment="1">
      <alignment vertical="top"/>
    </xf>
    <xf numFmtId="0" fontId="7" fillId="5" borderId="0" xfId="0" applyFont="1" applyFill="1" applyAlignment="1">
      <alignment horizontal="center" vertical="top"/>
    </xf>
    <xf numFmtId="0" fontId="7" fillId="5" borderId="19" xfId="0" applyFont="1" applyFill="1" applyBorder="1" applyAlignment="1">
      <alignment horizontal="center" vertical="top"/>
    </xf>
    <xf numFmtId="0" fontId="7" fillId="5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top"/>
    </xf>
    <xf numFmtId="0" fontId="6" fillId="4" borderId="21" xfId="0" applyFont="1" applyFill="1" applyBorder="1" applyAlignment="1">
      <alignment horizontal="center" vertical="top"/>
    </xf>
    <xf numFmtId="0" fontId="6" fillId="4" borderId="22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centerContinuous"/>
    </xf>
    <xf numFmtId="0" fontId="6" fillId="0" borderId="6" xfId="0" applyFont="1" applyBorder="1" applyAlignment="1">
      <alignment horizontal="centerContinuous"/>
    </xf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Continuous"/>
    </xf>
    <xf numFmtId="167" fontId="7" fillId="0" borderId="1" xfId="0" applyNumberFormat="1" applyFont="1" applyBorder="1" applyAlignment="1">
      <alignment horizontal="center"/>
    </xf>
    <xf numFmtId="43" fontId="7" fillId="0" borderId="1" xfId="2" applyFont="1" applyFill="1" applyBorder="1" applyAlignment="1">
      <alignment horizontal="center"/>
    </xf>
    <xf numFmtId="43" fontId="7" fillId="0" borderId="0" xfId="2" applyFont="1" applyFill="1" applyBorder="1" applyAlignment="1">
      <alignment horizontal="center"/>
    </xf>
    <xf numFmtId="0" fontId="6" fillId="0" borderId="8" xfId="0" applyFont="1" applyBorder="1" applyAlignment="1">
      <alignment horizontal="centerContinuous"/>
    </xf>
    <xf numFmtId="165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Continuous"/>
    </xf>
    <xf numFmtId="0" fontId="6" fillId="0" borderId="12" xfId="0" applyFont="1" applyBorder="1"/>
    <xf numFmtId="0" fontId="6" fillId="0" borderId="13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4" xfId="0" applyFont="1" applyBorder="1" applyAlignment="1">
      <alignment horizontal="center"/>
    </xf>
    <xf numFmtId="0" fontId="6" fillId="0" borderId="15" xfId="0" applyFont="1" applyBorder="1" applyAlignment="1">
      <alignment horizontal="center" vertical="top"/>
    </xf>
    <xf numFmtId="165" fontId="11" fillId="0" borderId="7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2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1" fontId="7" fillId="0" borderId="0" xfId="0" quotePrefix="1" applyNumberFormat="1" applyFont="1" applyAlignment="1">
      <alignment horizontal="center"/>
    </xf>
    <xf numFmtId="0" fontId="6" fillId="4" borderId="9" xfId="0" applyFont="1" applyFill="1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center" vertical="top"/>
    </xf>
    <xf numFmtId="0" fontId="6" fillId="4" borderId="0" xfId="0" applyFont="1" applyFill="1"/>
    <xf numFmtId="164" fontId="6" fillId="0" borderId="3" xfId="0" applyNumberFormat="1" applyFont="1" applyBorder="1" applyAlignment="1">
      <alignment horizontal="center"/>
    </xf>
    <xf numFmtId="168" fontId="6" fillId="0" borderId="3" xfId="0" applyNumberFormat="1" applyFont="1" applyBorder="1" applyAlignment="1">
      <alignment horizontal="center"/>
    </xf>
    <xf numFmtId="170" fontId="6" fillId="0" borderId="3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/>
    </xf>
    <xf numFmtId="166" fontId="6" fillId="4" borderId="3" xfId="0" applyNumberFormat="1" applyFont="1" applyFill="1" applyBorder="1" applyAlignment="1">
      <alignment horizontal="center"/>
    </xf>
    <xf numFmtId="170" fontId="6" fillId="4" borderId="3" xfId="0" applyNumberFormat="1" applyFont="1" applyFill="1" applyBorder="1" applyAlignment="1">
      <alignment horizontal="center"/>
    </xf>
    <xf numFmtId="164" fontId="6" fillId="4" borderId="9" xfId="0" applyNumberFormat="1" applyFont="1" applyFill="1" applyBorder="1" applyAlignment="1">
      <alignment horizontal="center"/>
    </xf>
    <xf numFmtId="172" fontId="7" fillId="0" borderId="5" xfId="0" applyNumberFormat="1" applyFont="1" applyBorder="1" applyAlignment="1">
      <alignment horizontal="center"/>
    </xf>
    <xf numFmtId="173" fontId="9" fillId="0" borderId="4" xfId="0" applyNumberFormat="1" applyFont="1" applyBorder="1" applyAlignment="1">
      <alignment horizontal="center" vertical="center"/>
    </xf>
    <xf numFmtId="0" fontId="1" fillId="0" borderId="0" xfId="0" quotePrefix="1" applyFont="1"/>
    <xf numFmtId="2" fontId="6" fillId="7" borderId="11" xfId="0" applyNumberFormat="1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" fillId="0" borderId="0" xfId="0" applyFont="1"/>
    <xf numFmtId="0" fontId="4" fillId="7" borderId="0" xfId="0" applyFont="1" applyFill="1"/>
    <xf numFmtId="2" fontId="6" fillId="4" borderId="0" xfId="0" applyNumberFormat="1" applyFont="1" applyFill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7" fillId="0" borderId="4" xfId="0" applyFont="1" applyBorder="1" applyAlignment="1"/>
    <xf numFmtId="169" fontId="7" fillId="0" borderId="4" xfId="0" applyNumberFormat="1" applyFont="1" applyBorder="1" applyAlignment="1"/>
    <xf numFmtId="0" fontId="7" fillId="0" borderId="0" xfId="0" applyFont="1" applyBorder="1" applyAlignment="1"/>
    <xf numFmtId="169" fontId="7" fillId="0" borderId="0" xfId="0" applyNumberFormat="1" applyFont="1" applyBorder="1" applyAlignment="1"/>
    <xf numFmtId="1" fontId="7" fillId="0" borderId="6" xfId="0" quotePrefix="1" applyNumberFormat="1" applyFont="1" applyBorder="1" applyAlignment="1">
      <alignment horizontal="center"/>
    </xf>
  </cellXfs>
  <cellStyles count="6">
    <cellStyle name="40% - Ênfase4 4" xfId="4" xr:uid="{DD588A3E-4F07-46BB-8133-B5EBC578CA6A}"/>
    <cellStyle name="Normal" xfId="0" builtinId="0"/>
    <cellStyle name="Normal 2" xfId="3" xr:uid="{82780DEC-2D2A-495B-ACDB-A40351EBAD91}"/>
    <cellStyle name="Porcentagem" xfId="1" builtinId="5"/>
    <cellStyle name="Vírgula" xfId="2" builtinId="3"/>
    <cellStyle name="Vírgula 2" xfId="5" xr:uid="{7490BF2C-7BEC-4DFB-8BF9-DEF3B742F70A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EC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G71"/>
  <sheetViews>
    <sheetView showGridLines="0" tabSelected="1" view="pageBreakPreview" zoomScale="90" zoomScaleNormal="100" zoomScaleSheetLayoutView="90" workbookViewId="0">
      <pane ySplit="8" topLeftCell="A54" activePane="bottomLeft" state="frozen"/>
      <selection pane="bottomLeft" activeCell="AA73" sqref="AA73"/>
    </sheetView>
  </sheetViews>
  <sheetFormatPr defaultRowHeight="12.75" x14ac:dyDescent="0.2"/>
  <cols>
    <col min="1" max="1" width="5" style="19" customWidth="1"/>
    <col min="2" max="2" width="2.7109375" style="19" customWidth="1"/>
    <col min="3" max="3" width="5.7109375" style="19" customWidth="1"/>
    <col min="4" max="4" width="4.28515625" style="19" customWidth="1"/>
    <col min="5" max="5" width="5" style="19" customWidth="1"/>
    <col min="6" max="6" width="2.85546875" style="19" customWidth="1"/>
    <col min="7" max="7" width="5.7109375" style="19" customWidth="1"/>
    <col min="8" max="8" width="10.42578125" style="19" customWidth="1"/>
    <col min="9" max="9" width="10.140625" style="19" customWidth="1"/>
    <col min="10" max="10" width="11.140625" style="19" customWidth="1"/>
    <col min="11" max="13" width="9.140625" style="19"/>
    <col min="14" max="15" width="8.85546875" style="19" customWidth="1"/>
    <col min="16" max="16" width="8" style="19" customWidth="1"/>
    <col min="17" max="17" width="9.28515625" style="19" customWidth="1"/>
    <col min="18" max="18" width="8.140625" style="19" customWidth="1"/>
    <col min="19" max="19" width="9.140625" style="19" customWidth="1"/>
    <col min="20" max="20" width="10.140625" style="19" customWidth="1"/>
    <col min="21" max="21" width="9.28515625" style="19" customWidth="1"/>
    <col min="22" max="22" width="10.7109375" style="19" customWidth="1"/>
    <col min="23" max="24" width="9.28515625" style="19" customWidth="1"/>
    <col min="25" max="25" width="10" style="19" customWidth="1"/>
    <col min="26" max="26" width="7.85546875" style="19" customWidth="1"/>
    <col min="27" max="27" width="10" style="19" customWidth="1"/>
    <col min="28" max="28" width="8.85546875" style="19" customWidth="1"/>
    <col min="29" max="30" width="9.28515625" style="19" customWidth="1"/>
    <col min="31" max="31" width="9.5703125" style="19" customWidth="1"/>
    <col min="32" max="32" width="12.140625" style="19" customWidth="1"/>
    <col min="33" max="34" width="8.5703125" style="19" customWidth="1"/>
    <col min="35" max="35" width="9.140625" style="19"/>
    <col min="36" max="36" width="11.42578125" style="19" customWidth="1"/>
    <col min="37" max="38" width="7.85546875" style="19" customWidth="1"/>
    <col min="39" max="41" width="7.140625" style="19" customWidth="1"/>
    <col min="42" max="42" width="7.7109375" style="19" customWidth="1"/>
    <col min="43" max="43" width="5" style="19" customWidth="1"/>
    <col min="44" max="44" width="5.7109375" style="19" customWidth="1"/>
    <col min="45" max="16384" width="9.140625" style="19"/>
  </cols>
  <sheetData>
    <row r="1" spans="1:59" ht="16.5" customHeight="1" x14ac:dyDescent="0.2">
      <c r="P1" s="124" t="s">
        <v>254</v>
      </c>
      <c r="Q1" s="124"/>
      <c r="R1" s="124"/>
      <c r="S1" s="124"/>
      <c r="AX1" s="20" t="s">
        <v>234</v>
      </c>
      <c r="AY1" s="21"/>
      <c r="AZ1" s="21"/>
      <c r="BA1" s="21"/>
      <c r="BB1" s="21"/>
      <c r="BC1" s="22"/>
      <c r="BD1" s="22"/>
      <c r="BE1" s="22"/>
      <c r="BF1" s="22"/>
      <c r="BG1" s="23"/>
    </row>
    <row r="2" spans="1:59" x14ac:dyDescent="0.2">
      <c r="A2" s="24" t="s">
        <v>41</v>
      </c>
      <c r="B2" s="24"/>
      <c r="D2" s="81"/>
      <c r="E2" s="81" t="s">
        <v>253</v>
      </c>
      <c r="P2" s="123" t="s">
        <v>218</v>
      </c>
      <c r="Q2" s="123" t="s">
        <v>1</v>
      </c>
      <c r="R2" s="123" t="s">
        <v>111</v>
      </c>
      <c r="S2" s="123" t="s">
        <v>219</v>
      </c>
      <c r="AA2" s="82"/>
      <c r="AX2" s="83" t="s">
        <v>1</v>
      </c>
      <c r="AY2" s="82" t="s">
        <v>111</v>
      </c>
      <c r="AZ2" s="82" t="s">
        <v>219</v>
      </c>
      <c r="BA2" s="82" t="s">
        <v>232</v>
      </c>
      <c r="BB2" s="82" t="s">
        <v>233</v>
      </c>
      <c r="BE2" s="84" t="s">
        <v>235</v>
      </c>
      <c r="BF2" s="25">
        <f>(($AX$3*LN($U$67)+$AY$3)*LN((R18/60)+($BB$3/60))+$AZ$3*LN($U$67)+$BA$3)/(R18/60)</f>
        <v>175.97656133689554</v>
      </c>
      <c r="BG2" s="26"/>
    </row>
    <row r="3" spans="1:59" ht="22.5" customHeight="1" thickBot="1" x14ac:dyDescent="0.25">
      <c r="A3" s="27" t="s">
        <v>210</v>
      </c>
      <c r="B3" s="28"/>
      <c r="C3" s="28"/>
      <c r="E3" s="25" t="s">
        <v>214</v>
      </c>
      <c r="P3" s="139">
        <v>1158.567</v>
      </c>
      <c r="Q3" s="85">
        <v>0.23799999999999999</v>
      </c>
      <c r="R3" s="85">
        <v>45.807000000000002</v>
      </c>
      <c r="S3" s="85">
        <v>0.69399999999999995</v>
      </c>
      <c r="AX3" s="86">
        <v>7.3272000000000004</v>
      </c>
      <c r="AY3" s="87">
        <v>12.680300000000001</v>
      </c>
      <c r="AZ3" s="87">
        <v>16.048200000000001</v>
      </c>
      <c r="BA3" s="87">
        <v>27.845500000000001</v>
      </c>
      <c r="BB3" s="87">
        <v>6</v>
      </c>
      <c r="BC3" s="29"/>
      <c r="BD3" s="29"/>
      <c r="BE3" s="29"/>
      <c r="BF3" s="29"/>
      <c r="BG3" s="30"/>
    </row>
    <row r="4" spans="1:59" ht="18.75" customHeight="1" x14ac:dyDescent="0.2">
      <c r="A4" s="141" t="s">
        <v>190</v>
      </c>
      <c r="B4" s="141"/>
      <c r="C4" s="141"/>
      <c r="D4" s="141"/>
      <c r="E4" s="141"/>
      <c r="F4" s="141"/>
      <c r="G4" s="141"/>
      <c r="H4" s="141"/>
      <c r="I4" s="141"/>
      <c r="J4" s="141"/>
      <c r="K4" s="141" t="s">
        <v>26</v>
      </c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 t="s">
        <v>27</v>
      </c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88"/>
      <c r="AS4" s="31" t="s">
        <v>240</v>
      </c>
      <c r="AT4" s="31"/>
      <c r="AU4" s="31"/>
    </row>
    <row r="5" spans="1:59" ht="18.75" customHeight="1" x14ac:dyDescent="0.2">
      <c r="A5" s="142" t="s">
        <v>189</v>
      </c>
      <c r="B5" s="143"/>
      <c r="C5" s="143"/>
      <c r="D5" s="143"/>
      <c r="E5" s="143"/>
      <c r="F5" s="143"/>
      <c r="G5" s="143"/>
      <c r="H5" s="143"/>
      <c r="I5" s="143"/>
      <c r="J5" s="143"/>
      <c r="K5" s="158" t="s">
        <v>3</v>
      </c>
      <c r="L5" s="144"/>
      <c r="M5" s="144"/>
      <c r="N5" s="144"/>
      <c r="O5" s="145"/>
      <c r="P5" s="144" t="s">
        <v>4</v>
      </c>
      <c r="Q5" s="144"/>
      <c r="R5" s="144"/>
      <c r="S5" s="144"/>
      <c r="T5" s="145"/>
      <c r="U5" s="89" t="s">
        <v>5</v>
      </c>
      <c r="V5" s="146" t="s">
        <v>28</v>
      </c>
      <c r="W5" s="146" t="s">
        <v>29</v>
      </c>
      <c r="X5" s="146" t="s">
        <v>30</v>
      </c>
      <c r="Y5" s="146" t="s">
        <v>31</v>
      </c>
      <c r="Z5" s="146" t="s">
        <v>248</v>
      </c>
      <c r="AA5" s="146" t="s">
        <v>32</v>
      </c>
      <c r="AB5" s="146" t="s">
        <v>216</v>
      </c>
      <c r="AC5" s="146" t="s">
        <v>33</v>
      </c>
      <c r="AD5" s="90" t="s">
        <v>221</v>
      </c>
      <c r="AE5" s="148" t="s">
        <v>42</v>
      </c>
      <c r="AF5" s="149"/>
      <c r="AG5" s="150"/>
      <c r="AH5" s="116"/>
      <c r="AS5" s="34" t="s">
        <v>241</v>
      </c>
      <c r="AT5" s="34" t="s">
        <v>242</v>
      </c>
      <c r="AU5" s="34" t="s">
        <v>243</v>
      </c>
    </row>
    <row r="6" spans="1:59" ht="15" customHeight="1" x14ac:dyDescent="0.2">
      <c r="A6" s="148" t="s">
        <v>0</v>
      </c>
      <c r="B6" s="149"/>
      <c r="C6" s="149"/>
      <c r="D6" s="149"/>
      <c r="E6" s="149"/>
      <c r="F6" s="149"/>
      <c r="G6" s="150"/>
      <c r="H6" s="91" t="s">
        <v>228</v>
      </c>
      <c r="I6" s="91" t="s">
        <v>222</v>
      </c>
      <c r="J6" s="91" t="s">
        <v>224</v>
      </c>
      <c r="K6" s="92" t="s">
        <v>6</v>
      </c>
      <c r="L6" s="76" t="s">
        <v>7</v>
      </c>
      <c r="M6" s="92" t="s">
        <v>6</v>
      </c>
      <c r="N6" s="89" t="s">
        <v>7</v>
      </c>
      <c r="O6" s="89" t="s">
        <v>226</v>
      </c>
      <c r="P6" s="93" t="s">
        <v>8</v>
      </c>
      <c r="Q6" s="94" t="s">
        <v>7</v>
      </c>
      <c r="R6" s="94" t="s">
        <v>9</v>
      </c>
      <c r="S6" s="94" t="s">
        <v>10</v>
      </c>
      <c r="T6" s="94" t="s">
        <v>5</v>
      </c>
      <c r="U6" s="95" t="s">
        <v>11</v>
      </c>
      <c r="V6" s="147"/>
      <c r="W6" s="147"/>
      <c r="X6" s="147"/>
      <c r="Y6" s="147"/>
      <c r="Z6" s="147"/>
      <c r="AA6" s="147"/>
      <c r="AB6" s="147"/>
      <c r="AC6" s="147"/>
      <c r="AD6" s="97" t="s">
        <v>220</v>
      </c>
      <c r="AE6" s="154"/>
      <c r="AF6" s="155"/>
      <c r="AG6" s="156"/>
      <c r="AH6" s="116"/>
      <c r="AS6" s="35" t="s">
        <v>218</v>
      </c>
      <c r="AT6" s="35" t="s">
        <v>244</v>
      </c>
      <c r="AU6" s="35" t="s">
        <v>245</v>
      </c>
    </row>
    <row r="7" spans="1:59" ht="15" customHeight="1" x14ac:dyDescent="0.2">
      <c r="A7" s="151"/>
      <c r="B7" s="152"/>
      <c r="C7" s="152"/>
      <c r="D7" s="152"/>
      <c r="E7" s="152"/>
      <c r="F7" s="152"/>
      <c r="G7" s="153"/>
      <c r="H7" s="99" t="s">
        <v>229</v>
      </c>
      <c r="I7" s="99" t="s">
        <v>223</v>
      </c>
      <c r="J7" s="99" t="s">
        <v>225</v>
      </c>
      <c r="K7" s="76" t="s">
        <v>12</v>
      </c>
      <c r="L7" s="76" t="s">
        <v>13</v>
      </c>
      <c r="M7" s="76" t="s">
        <v>12</v>
      </c>
      <c r="N7" s="95" t="s">
        <v>14</v>
      </c>
      <c r="O7" s="95" t="s">
        <v>227</v>
      </c>
      <c r="P7" s="100" t="s">
        <v>15</v>
      </c>
      <c r="Q7" s="94" t="s">
        <v>16</v>
      </c>
      <c r="R7" s="94" t="s">
        <v>17</v>
      </c>
      <c r="S7" s="94" t="s">
        <v>18</v>
      </c>
      <c r="T7" s="94" t="s">
        <v>19</v>
      </c>
      <c r="U7" s="95" t="s">
        <v>20</v>
      </c>
      <c r="V7" s="147"/>
      <c r="W7" s="147"/>
      <c r="X7" s="147"/>
      <c r="Y7" s="147"/>
      <c r="Z7" s="147"/>
      <c r="AA7" s="147"/>
      <c r="AB7" s="147"/>
      <c r="AC7" s="147"/>
      <c r="AD7" s="96"/>
      <c r="AE7" s="101" t="s">
        <v>44</v>
      </c>
      <c r="AF7" s="101" t="s">
        <v>45</v>
      </c>
      <c r="AG7" s="102" t="s">
        <v>46</v>
      </c>
      <c r="AH7" s="103"/>
      <c r="AS7" s="36"/>
      <c r="AT7" s="36"/>
      <c r="AU7" s="35" t="s">
        <v>246</v>
      </c>
    </row>
    <row r="8" spans="1:59" ht="15" customHeight="1" x14ac:dyDescent="0.2">
      <c r="A8" s="154"/>
      <c r="B8" s="155"/>
      <c r="C8" s="155"/>
      <c r="D8" s="155"/>
      <c r="E8" s="155"/>
      <c r="F8" s="155"/>
      <c r="G8" s="156"/>
      <c r="H8" s="98" t="s">
        <v>230</v>
      </c>
      <c r="I8" s="104" t="s">
        <v>39</v>
      </c>
      <c r="J8" s="104" t="s">
        <v>39</v>
      </c>
      <c r="K8" s="115" t="s">
        <v>13</v>
      </c>
      <c r="L8" s="105" t="s">
        <v>21</v>
      </c>
      <c r="M8" s="115" t="s">
        <v>14</v>
      </c>
      <c r="N8" s="105" t="s">
        <v>21</v>
      </c>
      <c r="O8" s="104" t="s">
        <v>39</v>
      </c>
      <c r="P8" s="106" t="s">
        <v>22</v>
      </c>
      <c r="Q8" s="104" t="s">
        <v>21</v>
      </c>
      <c r="R8" s="107" t="s">
        <v>23</v>
      </c>
      <c r="S8" s="104" t="s">
        <v>24</v>
      </c>
      <c r="T8" s="104" t="s">
        <v>25</v>
      </c>
      <c r="U8" s="106" t="s">
        <v>25</v>
      </c>
      <c r="V8" s="108" t="s">
        <v>37</v>
      </c>
      <c r="W8" s="106" t="s">
        <v>38</v>
      </c>
      <c r="X8" s="104" t="s">
        <v>39</v>
      </c>
      <c r="Y8" s="108" t="s">
        <v>39</v>
      </c>
      <c r="Z8" s="107" t="s">
        <v>25</v>
      </c>
      <c r="AA8" s="107" t="s">
        <v>40</v>
      </c>
      <c r="AB8" s="108" t="s">
        <v>39</v>
      </c>
      <c r="AC8" s="107" t="s">
        <v>23</v>
      </c>
      <c r="AD8" s="107" t="s">
        <v>39</v>
      </c>
      <c r="AE8" s="37"/>
      <c r="AF8" s="37" t="s">
        <v>48</v>
      </c>
      <c r="AG8" s="38" t="s">
        <v>48</v>
      </c>
      <c r="AH8" s="39"/>
      <c r="AI8" s="19" t="s">
        <v>250</v>
      </c>
      <c r="AJ8" s="41" t="s">
        <v>96</v>
      </c>
      <c r="AK8" s="41" t="s">
        <v>183</v>
      </c>
      <c r="AL8" s="41" t="s">
        <v>93</v>
      </c>
      <c r="AM8" s="88" t="s">
        <v>110</v>
      </c>
      <c r="AN8" s="88" t="s">
        <v>111</v>
      </c>
      <c r="AO8" s="88" t="s">
        <v>112</v>
      </c>
      <c r="AP8" s="140" t="s">
        <v>231</v>
      </c>
      <c r="AQ8" s="140"/>
      <c r="AS8" s="40"/>
      <c r="AT8" s="40" t="s">
        <v>247</v>
      </c>
      <c r="AU8" s="40" t="s">
        <v>39</v>
      </c>
    </row>
    <row r="9" spans="1:59" ht="18.75" customHeight="1" x14ac:dyDescent="0.2">
      <c r="A9" s="32"/>
      <c r="B9" s="33"/>
      <c r="C9" s="46"/>
      <c r="D9" s="33"/>
      <c r="E9" s="33"/>
      <c r="F9" s="33"/>
      <c r="G9" s="46"/>
      <c r="H9" s="46"/>
      <c r="I9" s="46"/>
      <c r="J9" s="46"/>
      <c r="K9" s="46"/>
      <c r="L9" s="47"/>
      <c r="M9" s="46"/>
      <c r="N9" s="47"/>
      <c r="O9" s="47"/>
      <c r="P9" s="46"/>
      <c r="Q9" s="47"/>
      <c r="R9" s="48"/>
      <c r="S9" s="48"/>
      <c r="T9" s="48"/>
      <c r="U9" s="49"/>
      <c r="V9" s="50"/>
      <c r="W9" s="51"/>
      <c r="X9" s="47"/>
      <c r="Y9" s="47"/>
      <c r="Z9" s="48"/>
      <c r="AA9" s="46"/>
      <c r="AB9" s="47"/>
      <c r="AC9" s="48"/>
      <c r="AD9" s="48"/>
      <c r="AE9" s="52"/>
      <c r="AF9" s="53"/>
      <c r="AG9" s="54"/>
      <c r="AH9" s="117"/>
      <c r="AJ9" s="41"/>
      <c r="AK9" s="41"/>
      <c r="AL9" s="43"/>
      <c r="AM9" s="44"/>
      <c r="AN9" s="44"/>
      <c r="AO9" s="44"/>
      <c r="AP9" s="44"/>
      <c r="AQ9" s="44"/>
      <c r="AR9" s="45"/>
      <c r="AS9" s="44"/>
    </row>
    <row r="10" spans="1:59" ht="18.75" customHeight="1" x14ac:dyDescent="0.2">
      <c r="A10" s="32">
        <v>0</v>
      </c>
      <c r="B10" s="33" t="s">
        <v>2</v>
      </c>
      <c r="C10" s="46">
        <v>0</v>
      </c>
      <c r="D10" s="33" t="s">
        <v>1</v>
      </c>
      <c r="E10" s="33">
        <v>13</v>
      </c>
      <c r="F10" s="33" t="s">
        <v>2</v>
      </c>
      <c r="G10" s="54">
        <v>0</v>
      </c>
      <c r="H10" s="54" t="s">
        <v>261</v>
      </c>
      <c r="I10" s="55">
        <v>99.8</v>
      </c>
      <c r="J10" s="55">
        <v>91.6</v>
      </c>
      <c r="K10" s="56">
        <v>0.9</v>
      </c>
      <c r="L10" s="57">
        <f>(3*AG10)/10000</f>
        <v>7.8E-2</v>
      </c>
      <c r="M10" s="56">
        <v>0.2</v>
      </c>
      <c r="N10" s="57">
        <f>(O10*AG10)/10000</f>
        <v>1.04</v>
      </c>
      <c r="O10" s="56">
        <v>40</v>
      </c>
      <c r="P10" s="56">
        <f>(K10*L10+M10*N10)/(L10+N10)</f>
        <v>0.24883720930232556</v>
      </c>
      <c r="Q10" s="57">
        <f>L10+N10</f>
        <v>1.1180000000000001</v>
      </c>
      <c r="R10" s="125">
        <v>5</v>
      </c>
      <c r="S10" s="125">
        <f>($P$3*$U$67^$Q$3)/(R10+$R$3)^$S$3</f>
        <v>131.2230745739565</v>
      </c>
      <c r="T10" s="125">
        <f>P10*Q10*S10*2.77777777777778</f>
        <v>101.4062759624298</v>
      </c>
      <c r="U10" s="125">
        <f>T10</f>
        <v>101.4062759624298</v>
      </c>
      <c r="V10" s="126">
        <f>(I10-J10)/AG10</f>
        <v>3.153846153846155E-2</v>
      </c>
      <c r="W10" s="57">
        <f>((AB10^2)*(AP10+AQ10))/2</f>
        <v>4.3267190981292412E-2</v>
      </c>
      <c r="X10" s="57">
        <f>(SQRT((AB10^2)+((AB10*(AP10))^2)))+(SQRT((AB10^2)+((AB10*(AQ10))^2)))</f>
        <v>0.72509630783774348</v>
      </c>
      <c r="Y10" s="127">
        <f>W10/X10</f>
        <v>5.9670957517790058E-2</v>
      </c>
      <c r="Z10" s="125">
        <f>W10*(1/AL10)*Y10^(2/3)*V10^(1/2)*1000</f>
        <v>78.222140920652521</v>
      </c>
      <c r="AA10" s="56">
        <f>(1/AL10)*Y10^(2/3)*V10^(1/2)</f>
        <v>1.807885817095769</v>
      </c>
      <c r="AB10" s="57">
        <f>((U10/1000)/(0.375*SQRT(V10)*((AP10+AQ10)/AL10)))^(3/8)</f>
        <v>0.13560441057373199</v>
      </c>
      <c r="AC10" s="125">
        <f>AG10/AA10/60</f>
        <v>2.3969065371033791</v>
      </c>
      <c r="AD10" s="128">
        <f>((3.6*10^6)*W10*(Y10^(2/3))*(V10^(1/2)))/(AL10*P10*S10*O10)</f>
        <v>215.59896741916143</v>
      </c>
      <c r="AE10" s="58" t="s">
        <v>255</v>
      </c>
      <c r="AF10" s="59" t="str">
        <f>INDEX(TIPOS!K:K,MATCH($AE10,TIPOS!$A:$A,0))</f>
        <v>- 0,80 x 0,17</v>
      </c>
      <c r="AG10" s="56">
        <f>IF(A10&lt;E10,(((E10*20)+G10)-((A10*20)+C10)),(((A10*20)+C10)-((E10*20)+G10)))</f>
        <v>260</v>
      </c>
      <c r="AH10" s="117"/>
      <c r="AI10" s="19" t="str">
        <f>IF(AB10&lt;=AO10,"OK","REVER")</f>
        <v>OK</v>
      </c>
      <c r="AJ10" s="41" t="str">
        <f>INDEX(TIPOS!D:D,MATCH($AE10,TIPOS!$A:$A,0))</f>
        <v>Triangular</v>
      </c>
      <c r="AK10" s="42" t="str">
        <f>INDEX(TIPOS!B:B,MATCH($AE10,TIPOS!$A:$A,0))</f>
        <v>Concreto</v>
      </c>
      <c r="AL10" s="43">
        <f>INDEX(TIPOS!C:C,MATCH($AE10,TIPOS!$A:$A,0))</f>
        <v>1.4999999999999999E-2</v>
      </c>
      <c r="AM10" s="44">
        <f>INDEX(TIPOS!E:E,MATCH($AE10,TIPOS!$A:$A,0))</f>
        <v>0.68</v>
      </c>
      <c r="AN10" s="44">
        <f>INDEX(TIPOS!F:F,MATCH($AE10,TIPOS!$A:$A,0))</f>
        <v>0.12</v>
      </c>
      <c r="AO10" s="44">
        <f>INDEX(TIPOS!G:G,MATCH($AE10,TIPOS!$A:$A,0))</f>
        <v>0.17</v>
      </c>
      <c r="AP10" s="44">
        <f>INDEX(TIPOS!H:H,MATCH($AE10,TIPOS!$A:$A,0))</f>
        <v>4</v>
      </c>
      <c r="AQ10" s="44">
        <f>INDEX(TIPOS!I:I,MATCH($AE10,TIPOS!$A:$A,0))</f>
        <v>0.70588235294117641</v>
      </c>
      <c r="AR10" s="45"/>
      <c r="AS10" s="44"/>
    </row>
    <row r="11" spans="1:59" ht="18.75" customHeight="1" x14ac:dyDescent="0.2">
      <c r="A11" s="32"/>
      <c r="B11" s="33"/>
      <c r="C11" s="46"/>
      <c r="D11" s="33"/>
      <c r="E11" s="33"/>
      <c r="F11" s="33"/>
      <c r="G11" s="46"/>
      <c r="H11" s="46"/>
      <c r="I11" s="46"/>
      <c r="J11" s="46"/>
      <c r="K11" s="46"/>
      <c r="L11" s="47"/>
      <c r="M11" s="46"/>
      <c r="N11" s="47"/>
      <c r="O11" s="47"/>
      <c r="P11" s="46"/>
      <c r="Q11" s="47"/>
      <c r="R11" s="48"/>
      <c r="S11" s="48"/>
      <c r="T11" s="48"/>
      <c r="U11" s="49"/>
      <c r="V11" s="50"/>
      <c r="W11" s="51"/>
      <c r="X11" s="47"/>
      <c r="Y11" s="47"/>
      <c r="Z11" s="48"/>
      <c r="AA11" s="46"/>
      <c r="AB11" s="47"/>
      <c r="AC11" s="48"/>
      <c r="AD11" s="48"/>
      <c r="AE11" s="52"/>
      <c r="AF11" s="53"/>
      <c r="AG11" s="54"/>
      <c r="AH11" s="117"/>
      <c r="AJ11" s="41"/>
      <c r="AK11" s="41"/>
      <c r="AL11" s="43"/>
      <c r="AM11" s="44"/>
      <c r="AN11" s="44"/>
      <c r="AO11" s="44"/>
      <c r="AP11" s="44"/>
      <c r="AQ11" s="44"/>
      <c r="AR11" s="45"/>
      <c r="AS11" s="44"/>
    </row>
    <row r="12" spans="1:59" ht="18.75" customHeight="1" x14ac:dyDescent="0.2">
      <c r="A12" s="32">
        <v>0</v>
      </c>
      <c r="B12" s="33" t="s">
        <v>2</v>
      </c>
      <c r="C12" s="46">
        <v>0</v>
      </c>
      <c r="D12" s="33" t="s">
        <v>1</v>
      </c>
      <c r="E12" s="33">
        <v>13</v>
      </c>
      <c r="F12" s="33" t="s">
        <v>2</v>
      </c>
      <c r="G12" s="54">
        <v>0</v>
      </c>
      <c r="H12" s="54" t="s">
        <v>262</v>
      </c>
      <c r="I12" s="55">
        <v>99.8</v>
      </c>
      <c r="J12" s="55">
        <v>91.6</v>
      </c>
      <c r="K12" s="56">
        <v>0.9</v>
      </c>
      <c r="L12" s="57">
        <f>(3*AG12)/10000</f>
        <v>7.8E-2</v>
      </c>
      <c r="M12" s="56">
        <v>0.2</v>
      </c>
      <c r="N12" s="57">
        <f>(O12*AG12)/10000</f>
        <v>2.6</v>
      </c>
      <c r="O12" s="56">
        <v>100</v>
      </c>
      <c r="P12" s="56">
        <f>(K12*L12+M12*N12)/(L12+N12)</f>
        <v>0.22038834951456313</v>
      </c>
      <c r="Q12" s="57">
        <f>L12+N12</f>
        <v>2.6779999999999999</v>
      </c>
      <c r="R12" s="125">
        <v>5</v>
      </c>
      <c r="S12" s="125">
        <f>($P$3*$U$67^$Q$3)/(R12+$R$3)^$S$3</f>
        <v>131.2230745739565</v>
      </c>
      <c r="T12" s="125">
        <f>P12*Q12*S12*2.77777777777778</f>
        <v>215.13294059319219</v>
      </c>
      <c r="U12" s="125">
        <f>T12</f>
        <v>215.13294059319219</v>
      </c>
      <c r="V12" s="126">
        <f>(I12-J12)/AG12</f>
        <v>3.153846153846155E-2</v>
      </c>
      <c r="W12" s="57">
        <f>((AB12^2)*(AP12+AQ12))/2</f>
        <v>7.6057187239474244E-2</v>
      </c>
      <c r="X12" s="57">
        <f>(SQRT((AB12^2)+((AB12*(AP12))^2)))+(SQRT((AB12^2)+((AB12*(AQ12))^2)))</f>
        <v>0.96136094161277164</v>
      </c>
      <c r="Y12" s="127">
        <f>W12/X12</f>
        <v>7.9114080827832778E-2</v>
      </c>
      <c r="Z12" s="125">
        <f>W12*(1/AL12)*Y12^(2/3)*V12^(1/2)*1000</f>
        <v>165.94790643914132</v>
      </c>
      <c r="AA12" s="56">
        <f>(1/AL12)*Y12^(2/3)*V12^(1/2)</f>
        <v>2.1818832967966122</v>
      </c>
      <c r="AB12" s="57">
        <f>((U12/1000)/(0.375*SQRT(V12)*((AP12+AQ12)/AL12)))^(3/8)</f>
        <v>0.17978961198238499</v>
      </c>
      <c r="AC12" s="125">
        <f>AG12/AA12/60</f>
        <v>1.9860518386549031</v>
      </c>
      <c r="AD12" s="128">
        <f>((3.6*10^6)*W12*(Y12^(2/3))*(V12^(1/2)))/(AL12*P12*S12*O12)</f>
        <v>206.57389436440579</v>
      </c>
      <c r="AE12" s="58" t="s">
        <v>255</v>
      </c>
      <c r="AF12" s="59" t="str">
        <f>INDEX(TIPOS!K:K,MATCH($AE12,TIPOS!$A:$A,0))</f>
        <v>- 0,80 x 0,17</v>
      </c>
      <c r="AG12" s="56">
        <f>IF(A12&lt;E12,(((E12*20)+G12)-((A12*20)+C12)),(((A12*20)+C12)-((E12*20)+G12)))</f>
        <v>260</v>
      </c>
      <c r="AH12" s="117"/>
      <c r="AI12" s="19" t="str">
        <f>IF(AB12&lt;=AO12,"OK","REVER")</f>
        <v>REVER</v>
      </c>
      <c r="AJ12" s="41" t="str">
        <f>INDEX(TIPOS!D:D,MATCH($AE12,TIPOS!$A:$A,0))</f>
        <v>Triangular</v>
      </c>
      <c r="AK12" s="42" t="str">
        <f>INDEX(TIPOS!B:B,MATCH($AE12,TIPOS!$A:$A,0))</f>
        <v>Concreto</v>
      </c>
      <c r="AL12" s="43">
        <f>INDEX(TIPOS!C:C,MATCH($AE12,TIPOS!$A:$A,0))</f>
        <v>1.4999999999999999E-2</v>
      </c>
      <c r="AM12" s="44">
        <f>INDEX(TIPOS!E:E,MATCH($AE12,TIPOS!$A:$A,0))</f>
        <v>0.68</v>
      </c>
      <c r="AN12" s="44">
        <f>INDEX(TIPOS!F:F,MATCH($AE12,TIPOS!$A:$A,0))</f>
        <v>0.12</v>
      </c>
      <c r="AO12" s="44">
        <f>INDEX(TIPOS!G:G,MATCH($AE12,TIPOS!$A:$A,0))</f>
        <v>0.17</v>
      </c>
      <c r="AP12" s="44">
        <f>INDEX(TIPOS!H:H,MATCH($AE12,TIPOS!$A:$A,0))</f>
        <v>4</v>
      </c>
      <c r="AQ12" s="44">
        <f>INDEX(TIPOS!I:I,MATCH($AE12,TIPOS!$A:$A,0))</f>
        <v>0.70588235294117641</v>
      </c>
      <c r="AR12" s="45"/>
      <c r="AS12" s="44"/>
    </row>
    <row r="13" spans="1:59" ht="18.75" customHeight="1" x14ac:dyDescent="0.2">
      <c r="A13" s="32"/>
      <c r="B13" s="33"/>
      <c r="C13" s="46"/>
      <c r="D13" s="33"/>
      <c r="E13" s="33"/>
      <c r="F13" s="33"/>
      <c r="G13" s="46"/>
      <c r="H13" s="46"/>
      <c r="I13" s="46"/>
      <c r="J13" s="46"/>
      <c r="K13" s="46"/>
      <c r="L13" s="47"/>
      <c r="M13" s="46"/>
      <c r="N13" s="47"/>
      <c r="O13" s="47"/>
      <c r="P13" s="46"/>
      <c r="Q13" s="47"/>
      <c r="R13" s="48"/>
      <c r="S13" s="48"/>
      <c r="T13" s="48"/>
      <c r="U13" s="49"/>
      <c r="V13" s="50"/>
      <c r="W13" s="51"/>
      <c r="X13" s="47"/>
      <c r="Y13" s="47"/>
      <c r="Z13" s="48"/>
      <c r="AA13" s="46"/>
      <c r="AB13" s="47"/>
      <c r="AC13" s="48"/>
      <c r="AD13" s="48"/>
      <c r="AE13" s="52"/>
      <c r="AF13" s="53"/>
      <c r="AG13" s="54"/>
      <c r="AH13" s="117"/>
      <c r="AJ13" s="41"/>
      <c r="AK13" s="41"/>
      <c r="AL13" s="43"/>
      <c r="AM13" s="44"/>
      <c r="AN13" s="44"/>
      <c r="AO13" s="44"/>
      <c r="AP13" s="44"/>
      <c r="AQ13" s="44"/>
      <c r="AR13" s="45"/>
      <c r="AS13" s="44"/>
    </row>
    <row r="14" spans="1:59" ht="18.75" customHeight="1" x14ac:dyDescent="0.2">
      <c r="A14" s="120" t="s">
        <v>249</v>
      </c>
      <c r="B14" s="60"/>
      <c r="C14" s="61"/>
      <c r="D14" s="60"/>
      <c r="E14" s="60">
        <v>13</v>
      </c>
      <c r="F14" s="60" t="s">
        <v>2</v>
      </c>
      <c r="G14" s="62">
        <v>0</v>
      </c>
      <c r="H14" s="62" t="s">
        <v>236</v>
      </c>
      <c r="I14" s="63"/>
      <c r="J14" s="64"/>
      <c r="K14" s="61"/>
      <c r="L14" s="64"/>
      <c r="M14" s="61"/>
      <c r="N14" s="64"/>
      <c r="O14" s="61"/>
      <c r="P14" s="61"/>
      <c r="Q14" s="64"/>
      <c r="R14" s="65"/>
      <c r="S14" s="65"/>
      <c r="T14" s="66"/>
      <c r="U14" s="67">
        <f>U10+U12</f>
        <v>316.53921655562198</v>
      </c>
      <c r="V14" s="68">
        <v>5.0000000000000001E-3</v>
      </c>
      <c r="W14" s="129">
        <f>((AF14^2)/8)*(AT14-SIN(AT14))</f>
        <v>0.19448831935932998</v>
      </c>
      <c r="X14" s="129">
        <f>(AF14/2)*AT14</f>
        <v>1.113005969935172</v>
      </c>
      <c r="Y14" s="130">
        <f>W14/X14</f>
        <v>0.17474148801794667</v>
      </c>
      <c r="Z14" s="67">
        <f>((1/AL14)*W14*Y14^(2/3)*V14^(1/2))*1000</f>
        <v>330.64796925817359</v>
      </c>
      <c r="AA14" s="69">
        <f>(1/AL14)*Y14^(2/3)*V14^(1/2)</f>
        <v>1.7000916576757481</v>
      </c>
      <c r="AB14" s="129">
        <f>AU14</f>
        <v>0.32856965238732916</v>
      </c>
      <c r="AC14" s="67">
        <f>AG14/AA14/60</f>
        <v>5.8820358036879801E-2</v>
      </c>
      <c r="AD14" s="131"/>
      <c r="AE14" s="70" t="s">
        <v>238</v>
      </c>
      <c r="AF14" s="62">
        <v>0.8</v>
      </c>
      <c r="AG14" s="69">
        <v>6</v>
      </c>
      <c r="AH14" s="117"/>
      <c r="AI14" s="19" t="str">
        <f>IF(AB14&lt;=AO14,"OK","REVER")</f>
        <v>OK</v>
      </c>
      <c r="AJ14" s="41" t="s">
        <v>108</v>
      </c>
      <c r="AK14" s="42" t="s">
        <v>98</v>
      </c>
      <c r="AL14" s="43">
        <v>1.2999999999999999E-2</v>
      </c>
      <c r="AM14" s="44"/>
      <c r="AN14" s="44"/>
      <c r="AO14" s="44">
        <v>0.68</v>
      </c>
      <c r="AP14" s="44"/>
      <c r="AQ14" s="44"/>
      <c r="AR14" s="45"/>
      <c r="AS14" s="44">
        <f>(U14/1000)*AL14*AF14^(-8/3)*V14^(-1/2)</f>
        <v>0.10551460430868234</v>
      </c>
      <c r="AT14" s="19">
        <f>IFERROR(((3*PI())/2)*SQRT(1-SQRT(1-SQRT(PI()*AS14))),"θ ≥ 270°")</f>
        <v>2.7825149248379297</v>
      </c>
      <c r="AU14" s="19">
        <f>IFERROR((AF14/2)*(1-COS(AT14/2)),"Yn &gt; 85%")</f>
        <v>0.32856965238732916</v>
      </c>
    </row>
    <row r="15" spans="1:59" ht="18.75" customHeight="1" x14ac:dyDescent="0.2">
      <c r="A15" s="32"/>
      <c r="B15" s="33"/>
      <c r="C15" s="46"/>
      <c r="D15" s="33"/>
      <c r="E15" s="33"/>
      <c r="F15" s="33"/>
      <c r="G15" s="46"/>
      <c r="H15" s="46"/>
      <c r="I15" s="46"/>
      <c r="J15" s="46"/>
      <c r="K15" s="46"/>
      <c r="L15" s="47"/>
      <c r="M15" s="46"/>
      <c r="N15" s="47"/>
      <c r="O15" s="47"/>
      <c r="P15" s="46"/>
      <c r="Q15" s="47"/>
      <c r="R15" s="48"/>
      <c r="S15" s="48"/>
      <c r="T15" s="48"/>
      <c r="U15" s="49"/>
      <c r="V15" s="50"/>
      <c r="W15" s="51"/>
      <c r="X15" s="47"/>
      <c r="Y15" s="47"/>
      <c r="Z15" s="48"/>
      <c r="AA15" s="46"/>
      <c r="AB15" s="47"/>
      <c r="AC15" s="48"/>
      <c r="AD15" s="48"/>
      <c r="AE15" s="52"/>
      <c r="AF15" s="53"/>
      <c r="AG15" s="54"/>
      <c r="AH15" s="117"/>
      <c r="AJ15" s="41"/>
      <c r="AK15" s="41"/>
      <c r="AL15" s="43"/>
      <c r="AM15" s="44"/>
      <c r="AN15" s="44"/>
      <c r="AO15" s="44"/>
      <c r="AP15" s="44"/>
      <c r="AQ15" s="44"/>
      <c r="AR15" s="45"/>
      <c r="AS15" s="44"/>
    </row>
    <row r="16" spans="1:59" ht="18.75" customHeight="1" x14ac:dyDescent="0.2">
      <c r="A16" s="32">
        <v>13</v>
      </c>
      <c r="B16" s="33" t="s">
        <v>2</v>
      </c>
      <c r="C16" s="46">
        <v>0</v>
      </c>
      <c r="D16" s="33" t="s">
        <v>1</v>
      </c>
      <c r="E16" s="33">
        <v>23</v>
      </c>
      <c r="F16" s="33" t="s">
        <v>2</v>
      </c>
      <c r="G16" s="54">
        <v>18.53</v>
      </c>
      <c r="H16" s="54" t="s">
        <v>263</v>
      </c>
      <c r="I16" s="55">
        <v>99.8</v>
      </c>
      <c r="J16" s="55">
        <v>91.6</v>
      </c>
      <c r="K16" s="56">
        <v>0.9</v>
      </c>
      <c r="L16" s="57">
        <f>(3*AG16)/10000</f>
        <v>6.5558999999999992E-2</v>
      </c>
      <c r="M16" s="56">
        <v>0.2</v>
      </c>
      <c r="N16" s="57">
        <f>(O16*AG16)/10000</f>
        <v>0.8741199999999999</v>
      </c>
      <c r="O16" s="56">
        <v>40</v>
      </c>
      <c r="P16" s="56">
        <f>(K16*L16+M16*N16)/(L16+N16)</f>
        <v>0.24883720930232558</v>
      </c>
      <c r="Q16" s="57">
        <f>L16+N16</f>
        <v>0.93967899999999993</v>
      </c>
      <c r="R16" s="125">
        <v>5</v>
      </c>
      <c r="S16" s="125">
        <f>($P$3*$U$67^$Q$3)/(R16+$R$3)^$S$3</f>
        <v>131.2230745739565</v>
      </c>
      <c r="T16" s="125">
        <f>P16*Q16*S16*2.77777777777778</f>
        <v>85.231974946422227</v>
      </c>
      <c r="U16" s="125">
        <f>T16</f>
        <v>85.231974946422227</v>
      </c>
      <c r="V16" s="126">
        <f>(I16-J16)/AG16</f>
        <v>3.7523452157598516E-2</v>
      </c>
      <c r="W16" s="57">
        <f>((AB16^2)*(AP16+AQ16))/2</f>
        <v>3.5584726569068983E-2</v>
      </c>
      <c r="X16" s="57">
        <f>(SQRT((AB16^2)+((AB16*(AP16))^2)))+(SQRT((AB16^2)+((AB16*(AQ16))^2)))</f>
        <v>0.65757934000378115</v>
      </c>
      <c r="Y16" s="127">
        <f>W16/X16</f>
        <v>5.4114727158040526E-2</v>
      </c>
      <c r="Z16" s="125">
        <f>W16*(1/AL16)*Y16^(2/3)*V16^(1/2)*1000</f>
        <v>65.745709443808366</v>
      </c>
      <c r="AA16" s="56">
        <f>(1/AL16)*Y16^(2/3)*V16^(1/2)</f>
        <v>1.8475822574102891</v>
      </c>
      <c r="AB16" s="57">
        <f>((U16/1000)/(0.375*SQRT(V16)*((AP16+AQ16)/AL16)))^(3/8)</f>
        <v>0.12297767598980848</v>
      </c>
      <c r="AC16" s="125">
        <f>AG16/AA16/60</f>
        <v>1.9713150264669688</v>
      </c>
      <c r="AD16" s="128">
        <f>((3.6*10^6)*W16*(Y16^(2/3))*(V16^(1/2)))/(AL16*P16*S16*O16)</f>
        <v>181.21093211580495</v>
      </c>
      <c r="AE16" s="58" t="s">
        <v>255</v>
      </c>
      <c r="AF16" s="59" t="str">
        <f>INDEX(TIPOS!K:K,MATCH($AE16,TIPOS!$A:$A,0))</f>
        <v>- 0,80 x 0,17</v>
      </c>
      <c r="AG16" s="56">
        <f>IF(A16&lt;E16,(((E16*20)+G16)-((A16*20)+C16)),(((A16*20)+C16)-((E16*20)+G16)))</f>
        <v>218.52999999999997</v>
      </c>
      <c r="AH16" s="117"/>
      <c r="AI16" s="19" t="str">
        <f>IF(AB16&lt;=AO16,"OK","REVER")</f>
        <v>OK</v>
      </c>
      <c r="AJ16" s="41" t="str">
        <f>INDEX(TIPOS!D:D,MATCH($AE16,TIPOS!$A:$A,0))</f>
        <v>Triangular</v>
      </c>
      <c r="AK16" s="42" t="str">
        <f>INDEX(TIPOS!B:B,MATCH($AE16,TIPOS!$A:$A,0))</f>
        <v>Concreto</v>
      </c>
      <c r="AL16" s="43">
        <f>INDEX(TIPOS!C:C,MATCH($AE16,TIPOS!$A:$A,0))</f>
        <v>1.4999999999999999E-2</v>
      </c>
      <c r="AM16" s="44">
        <f>INDEX(TIPOS!E:E,MATCH($AE16,TIPOS!$A:$A,0))</f>
        <v>0.68</v>
      </c>
      <c r="AN16" s="44">
        <f>INDEX(TIPOS!F:F,MATCH($AE16,TIPOS!$A:$A,0))</f>
        <v>0.12</v>
      </c>
      <c r="AO16" s="44">
        <f>INDEX(TIPOS!G:G,MATCH($AE16,TIPOS!$A:$A,0))</f>
        <v>0.17</v>
      </c>
      <c r="AP16" s="44">
        <f>INDEX(TIPOS!H:H,MATCH($AE16,TIPOS!$A:$A,0))</f>
        <v>4</v>
      </c>
      <c r="AQ16" s="44">
        <f>INDEX(TIPOS!I:I,MATCH($AE16,TIPOS!$A:$A,0))</f>
        <v>0.70588235294117641</v>
      </c>
      <c r="AR16" s="45"/>
      <c r="AS16" s="44"/>
    </row>
    <row r="17" spans="1:47" ht="18.75" customHeight="1" x14ac:dyDescent="0.2">
      <c r="A17" s="32"/>
      <c r="B17" s="33"/>
      <c r="C17" s="46"/>
      <c r="D17" s="33"/>
      <c r="E17" s="33"/>
      <c r="F17" s="33"/>
      <c r="G17" s="46"/>
      <c r="H17" s="46"/>
      <c r="I17" s="46"/>
      <c r="J17" s="46"/>
      <c r="K17" s="46"/>
      <c r="L17" s="47"/>
      <c r="M17" s="46"/>
      <c r="N17" s="47"/>
      <c r="O17" s="47"/>
      <c r="P17" s="46"/>
      <c r="Q17" s="47"/>
      <c r="R17" s="48"/>
      <c r="S17" s="48"/>
      <c r="T17" s="48"/>
      <c r="U17" s="49"/>
      <c r="V17" s="50"/>
      <c r="W17" s="51"/>
      <c r="X17" s="47"/>
      <c r="Y17" s="47"/>
      <c r="Z17" s="48"/>
      <c r="AA17" s="46"/>
      <c r="AB17" s="47"/>
      <c r="AC17" s="48"/>
      <c r="AD17" s="48"/>
      <c r="AE17" s="52"/>
      <c r="AF17" s="53"/>
      <c r="AG17" s="54"/>
      <c r="AH17" s="117"/>
      <c r="AJ17" s="41"/>
      <c r="AK17" s="41"/>
      <c r="AL17" s="43"/>
      <c r="AM17" s="44"/>
      <c r="AN17" s="44"/>
      <c r="AO17" s="44"/>
      <c r="AP17" s="44"/>
      <c r="AQ17" s="44"/>
      <c r="AR17" s="45"/>
      <c r="AS17" s="44"/>
    </row>
    <row r="18" spans="1:47" ht="18.75" customHeight="1" x14ac:dyDescent="0.2">
      <c r="A18" s="32">
        <v>13</v>
      </c>
      <c r="B18" s="33" t="s">
        <v>2</v>
      </c>
      <c r="C18" s="46">
        <v>0</v>
      </c>
      <c r="D18" s="33" t="s">
        <v>1</v>
      </c>
      <c r="E18" s="33">
        <v>23</v>
      </c>
      <c r="F18" s="33" t="s">
        <v>2</v>
      </c>
      <c r="G18" s="54">
        <v>18.53</v>
      </c>
      <c r="H18" s="54" t="s">
        <v>264</v>
      </c>
      <c r="I18" s="55">
        <v>99.8</v>
      </c>
      <c r="J18" s="55">
        <v>91.6</v>
      </c>
      <c r="K18" s="56">
        <v>0.9</v>
      </c>
      <c r="L18" s="57">
        <f>(3*AG18)/10000</f>
        <v>6.5558999999999992E-2</v>
      </c>
      <c r="M18" s="56">
        <v>0.2</v>
      </c>
      <c r="N18" s="57">
        <f>(O18*AG18)/10000</f>
        <v>2.1852999999999998</v>
      </c>
      <c r="O18" s="56">
        <v>100</v>
      </c>
      <c r="P18" s="56">
        <f>(K18*L18+M18*N18)/(L18+N18)</f>
        <v>0.22038834951456313</v>
      </c>
      <c r="Q18" s="57">
        <f>L18+N18</f>
        <v>2.2508589999999997</v>
      </c>
      <c r="R18" s="125">
        <v>5</v>
      </c>
      <c r="S18" s="125">
        <f>($P$3*$U$67^$Q$3)/(R18+$R$3)^$S$3</f>
        <v>131.2230745739565</v>
      </c>
      <c r="T18" s="125">
        <f>P18*Q18*S18*2.77777777777778</f>
        <v>180.81923656857802</v>
      </c>
      <c r="U18" s="125">
        <f>T18</f>
        <v>180.81923656857802</v>
      </c>
      <c r="V18" s="126">
        <f>(I18-J18)/AG18</f>
        <v>3.7523452157598516E-2</v>
      </c>
      <c r="W18" s="57">
        <f>((AB18^2)*(AP18+AQ18))/2</f>
        <v>6.2552575060844204E-2</v>
      </c>
      <c r="X18" s="57">
        <f>(SQRT((AB18^2)+((AB18*(AP18))^2)))+(SQRT((AB18^2)+((AB18*(AQ18))^2)))</f>
        <v>0.87184431455221612</v>
      </c>
      <c r="Y18" s="127">
        <f>W18/X18</f>
        <v>7.174741409304429E-2</v>
      </c>
      <c r="Z18" s="125">
        <f>W18*(1/AL18)*Y18^(2/3)*V18^(1/2)*1000</f>
        <v>139.47921536209822</v>
      </c>
      <c r="AA18" s="56">
        <f>(1/AL18)*Y18^(2/3)*V18^(1/2)</f>
        <v>2.2297917428088017</v>
      </c>
      <c r="AB18" s="57">
        <f>((U18/1000)/(0.375*SQRT(V18)*((AP18+AQ18)/AL18)))^(3/8)</f>
        <v>0.16304859521277326</v>
      </c>
      <c r="AC18" s="125">
        <f>AG18/AA18/60</f>
        <v>1.633411137346279</v>
      </c>
      <c r="AD18" s="128">
        <f>((3.6*10^6)*W18*(Y18^(2/3))*(V18^(1/2)))/(AL18*P18*S18*O18)</f>
        <v>173.62535821328299</v>
      </c>
      <c r="AE18" s="58" t="s">
        <v>255</v>
      </c>
      <c r="AF18" s="59" t="str">
        <f>INDEX(TIPOS!K:K,MATCH($AE18,TIPOS!$A:$A,0))</f>
        <v>- 0,80 x 0,17</v>
      </c>
      <c r="AG18" s="56">
        <f>IF(A18&lt;E18,(((E18*20)+G18)-((A18*20)+C18)),(((A18*20)+C18)-((E18*20)+G18)))</f>
        <v>218.52999999999997</v>
      </c>
      <c r="AH18" s="117"/>
      <c r="AI18" s="19" t="str">
        <f>IF(AB18&lt;=AO18,"OK","REVER")</f>
        <v>OK</v>
      </c>
      <c r="AJ18" s="41" t="str">
        <f>INDEX(TIPOS!D:D,MATCH($AE18,TIPOS!$A:$A,0))</f>
        <v>Triangular</v>
      </c>
      <c r="AK18" s="42" t="str">
        <f>INDEX(TIPOS!B:B,MATCH($AE18,TIPOS!$A:$A,0))</f>
        <v>Concreto</v>
      </c>
      <c r="AL18" s="43">
        <f>INDEX(TIPOS!C:C,MATCH($AE18,TIPOS!$A:$A,0))</f>
        <v>1.4999999999999999E-2</v>
      </c>
      <c r="AM18" s="44">
        <f>INDEX(TIPOS!E:E,MATCH($AE18,TIPOS!$A:$A,0))</f>
        <v>0.68</v>
      </c>
      <c r="AN18" s="44">
        <f>INDEX(TIPOS!F:F,MATCH($AE18,TIPOS!$A:$A,0))</f>
        <v>0.12</v>
      </c>
      <c r="AO18" s="44">
        <f>INDEX(TIPOS!G:G,MATCH($AE18,TIPOS!$A:$A,0))</f>
        <v>0.17</v>
      </c>
      <c r="AP18" s="44">
        <f>INDEX(TIPOS!H:H,MATCH($AE18,TIPOS!$A:$A,0))</f>
        <v>4</v>
      </c>
      <c r="AQ18" s="44">
        <f>INDEX(TIPOS!I:I,MATCH($AE18,TIPOS!$A:$A,0))</f>
        <v>0.70588235294117641</v>
      </c>
      <c r="AR18" s="45"/>
      <c r="AS18" s="44"/>
    </row>
    <row r="19" spans="1:47" ht="18.75" customHeight="1" x14ac:dyDescent="0.2">
      <c r="A19" s="32"/>
      <c r="B19" s="33"/>
      <c r="C19" s="46"/>
      <c r="D19" s="33"/>
      <c r="E19" s="33"/>
      <c r="F19" s="33"/>
      <c r="G19" s="46"/>
      <c r="H19" s="46"/>
      <c r="I19" s="46"/>
      <c r="J19" s="46"/>
      <c r="K19" s="46"/>
      <c r="L19" s="47"/>
      <c r="M19" s="46"/>
      <c r="N19" s="47"/>
      <c r="O19" s="47"/>
      <c r="P19" s="46"/>
      <c r="Q19" s="47"/>
      <c r="R19" s="48"/>
      <c r="S19" s="48"/>
      <c r="T19" s="48"/>
      <c r="U19" s="49"/>
      <c r="V19" s="50"/>
      <c r="W19" s="51"/>
      <c r="X19" s="47"/>
      <c r="Y19" s="47"/>
      <c r="Z19" s="48"/>
      <c r="AA19" s="46"/>
      <c r="AB19" s="47"/>
      <c r="AC19" s="48"/>
      <c r="AD19" s="48"/>
      <c r="AE19" s="52"/>
      <c r="AF19" s="53"/>
      <c r="AG19" s="54"/>
      <c r="AH19" s="117"/>
      <c r="AJ19" s="41"/>
      <c r="AK19" s="41"/>
      <c r="AL19" s="43"/>
      <c r="AM19" s="44"/>
      <c r="AN19" s="44"/>
      <c r="AO19" s="44"/>
      <c r="AP19" s="44"/>
      <c r="AQ19" s="44"/>
      <c r="AR19" s="45"/>
      <c r="AS19" s="44"/>
    </row>
    <row r="20" spans="1:47" ht="18.75" customHeight="1" x14ac:dyDescent="0.2">
      <c r="A20" s="32">
        <v>27</v>
      </c>
      <c r="B20" s="33" t="s">
        <v>2</v>
      </c>
      <c r="C20" s="46">
        <v>15.51</v>
      </c>
      <c r="D20" s="33" t="s">
        <v>1</v>
      </c>
      <c r="E20" s="33">
        <v>23</v>
      </c>
      <c r="F20" s="33" t="s">
        <v>2</v>
      </c>
      <c r="G20" s="54">
        <v>18.53</v>
      </c>
      <c r="H20" s="136">
        <v>2</v>
      </c>
      <c r="I20" s="55">
        <v>92.7</v>
      </c>
      <c r="J20" s="55">
        <v>91.6</v>
      </c>
      <c r="K20" s="56">
        <v>0.9</v>
      </c>
      <c r="L20" s="57">
        <f>(3*AG20)/10000</f>
        <v>2.3094000000000007E-2</v>
      </c>
      <c r="M20" s="56">
        <v>0.2</v>
      </c>
      <c r="N20" s="57">
        <f>(O20*AG20)/10000</f>
        <v>0.76980000000000015</v>
      </c>
      <c r="O20" s="56">
        <v>100</v>
      </c>
      <c r="P20" s="56">
        <f t="shared" ref="P20" si="0">(K20*L20+M20*N20)/(L20+N20)</f>
        <v>0.22038834951456313</v>
      </c>
      <c r="Q20" s="57">
        <f t="shared" ref="Q20" si="1">L20+N20</f>
        <v>0.79289400000000021</v>
      </c>
      <c r="R20" s="125">
        <v>5</v>
      </c>
      <c r="S20" s="125">
        <f>($P$3*$U$67^$Q$3)/(R20+$R$3)^$S$3</f>
        <v>131.2230745739565</v>
      </c>
      <c r="T20" s="125">
        <f t="shared" ref="T20" si="2">P20*Q20*S20*2.77777777777778</f>
        <v>63.695899103322844</v>
      </c>
      <c r="U20" s="125">
        <f t="shared" ref="U20" si="3">T20</f>
        <v>63.695899103322844</v>
      </c>
      <c r="V20" s="126">
        <f>(I20-J20)/AG20</f>
        <v>1.4289425824889689E-2</v>
      </c>
      <c r="W20" s="57">
        <f>((AB20^2)*(AP20+AQ20))/2</f>
        <v>4.1079800569991137E-2</v>
      </c>
      <c r="X20" s="57">
        <f>(SQRT((AB20^2)+((AB20*(AP20))^2)))+(SQRT((AB20^2)+((AB20*(AQ20))^2)))</f>
        <v>0.70652983656440782</v>
      </c>
      <c r="Y20" s="127">
        <f>W20/X20</f>
        <v>5.8143051353283182E-2</v>
      </c>
      <c r="Z20" s="125">
        <f>W20*(1/AL20)*Y20^(2/3)*V20^(1/2)*1000</f>
        <v>49.133345529558049</v>
      </c>
      <c r="AA20" s="56">
        <f>(1/AL20)*Y20^(2/3)*V20^(1/2)</f>
        <v>1.1960463499779026</v>
      </c>
      <c r="AB20" s="57">
        <f>((U20/1000)/(0.375*SQRT(V20)*((AP20+AQ20)/AL20)))^(3/8)</f>
        <v>0.1321321885168267</v>
      </c>
      <c r="AC20" s="125">
        <f>AG20/AA20/60</f>
        <v>1.0727009032916694</v>
      </c>
      <c r="AD20" s="128">
        <f>((3.6*10^6)*W20*(Y20^(2/3))*(V20^(1/2)))/(AL20*P20*S20*O20)</f>
        <v>61.161763031430603</v>
      </c>
      <c r="AE20" s="58" t="s">
        <v>255</v>
      </c>
      <c r="AF20" s="59" t="str">
        <f>INDEX(TIPOS!K:K,MATCH($AE20,TIPOS!$A:$A,0))</f>
        <v>- 0,80 x 0,17</v>
      </c>
      <c r="AG20" s="56">
        <f>IF(A20&lt;E20,(((E20*20)+G20)-((A20*20)+C20)),(((A20*20)+C20)-((E20*20)+G20)))</f>
        <v>76.980000000000018</v>
      </c>
      <c r="AH20" s="117"/>
      <c r="AI20" s="19" t="str">
        <f>IF(AB20&lt;=AO20,"OK","REVER")</f>
        <v>OK</v>
      </c>
      <c r="AJ20" s="41" t="str">
        <f>INDEX(TIPOS!D:D,MATCH($AE20,TIPOS!$A:$A,0))</f>
        <v>Triangular</v>
      </c>
      <c r="AK20" s="42" t="str">
        <f>INDEX(TIPOS!B:B,MATCH($AE20,TIPOS!$A:$A,0))</f>
        <v>Concreto</v>
      </c>
      <c r="AL20" s="43">
        <f>INDEX(TIPOS!C:C,MATCH($AE20,TIPOS!$A:$A,0))</f>
        <v>1.4999999999999999E-2</v>
      </c>
      <c r="AM20" s="44">
        <f>INDEX(TIPOS!E:E,MATCH($AE20,TIPOS!$A:$A,0))</f>
        <v>0.68</v>
      </c>
      <c r="AN20" s="44">
        <f>INDEX(TIPOS!F:F,MATCH($AE20,TIPOS!$A:$A,0))</f>
        <v>0.12</v>
      </c>
      <c r="AO20" s="44">
        <f>INDEX(TIPOS!G:G,MATCH($AE20,TIPOS!$A:$A,0))</f>
        <v>0.17</v>
      </c>
      <c r="AP20" s="44">
        <f>INDEX(TIPOS!H:H,MATCH($AE20,TIPOS!$A:$A,0))</f>
        <v>4</v>
      </c>
      <c r="AQ20" s="44">
        <f>INDEX(TIPOS!I:I,MATCH($AE20,TIPOS!$A:$A,0))</f>
        <v>0.70588235294117641</v>
      </c>
      <c r="AR20" s="45"/>
      <c r="AS20" s="44"/>
    </row>
    <row r="21" spans="1:47" ht="18.75" customHeight="1" x14ac:dyDescent="0.2">
      <c r="A21" s="32"/>
      <c r="B21" s="33"/>
      <c r="C21" s="46"/>
      <c r="D21" s="33"/>
      <c r="E21" s="33"/>
      <c r="F21" s="33"/>
      <c r="G21" s="46"/>
      <c r="H21" s="46"/>
      <c r="I21" s="46"/>
      <c r="J21" s="46"/>
      <c r="K21" s="46"/>
      <c r="L21" s="47"/>
      <c r="M21" s="46"/>
      <c r="N21" s="47"/>
      <c r="O21" s="47"/>
      <c r="P21" s="46"/>
      <c r="Q21" s="47"/>
      <c r="R21" s="48"/>
      <c r="S21" s="48"/>
      <c r="T21" s="48"/>
      <c r="U21" s="49"/>
      <c r="V21" s="50"/>
      <c r="W21" s="51"/>
      <c r="X21" s="47"/>
      <c r="Y21" s="47"/>
      <c r="Z21" s="48"/>
      <c r="AA21" s="46"/>
      <c r="AB21" s="47"/>
      <c r="AC21" s="48"/>
      <c r="AD21" s="48"/>
      <c r="AE21" s="52"/>
      <c r="AF21" s="53"/>
      <c r="AG21" s="54"/>
      <c r="AH21" s="117"/>
      <c r="AJ21" s="41"/>
      <c r="AK21" s="41"/>
      <c r="AL21" s="43"/>
      <c r="AM21" s="44"/>
      <c r="AN21" s="44"/>
      <c r="AO21" s="44"/>
      <c r="AP21" s="44"/>
      <c r="AQ21" s="44"/>
      <c r="AR21" s="45"/>
      <c r="AS21" s="44"/>
    </row>
    <row r="22" spans="1:47" ht="18.75" customHeight="1" x14ac:dyDescent="0.2">
      <c r="A22" s="120" t="s">
        <v>249</v>
      </c>
      <c r="B22" s="60"/>
      <c r="C22" s="61"/>
      <c r="D22" s="60"/>
      <c r="E22" s="60">
        <v>23</v>
      </c>
      <c r="F22" s="60" t="s">
        <v>2</v>
      </c>
      <c r="G22" s="62">
        <v>18.53</v>
      </c>
      <c r="H22" s="62" t="s">
        <v>236</v>
      </c>
      <c r="I22" s="63"/>
      <c r="J22" s="64"/>
      <c r="K22" s="61"/>
      <c r="L22" s="64"/>
      <c r="M22" s="61"/>
      <c r="N22" s="64"/>
      <c r="O22" s="61"/>
      <c r="P22" s="61"/>
      <c r="Q22" s="64"/>
      <c r="R22" s="65"/>
      <c r="S22" s="65"/>
      <c r="T22" s="66"/>
      <c r="U22" s="67">
        <f>U16+U18+U20</f>
        <v>329.74711061832312</v>
      </c>
      <c r="V22" s="68">
        <v>5.0000000000000001E-3</v>
      </c>
      <c r="W22" s="129">
        <f>((AF22^2)/8)*(AT22-SIN(AT22))</f>
        <v>0.20015059670713206</v>
      </c>
      <c r="X22" s="129">
        <f>(AF22/2)*AT22</f>
        <v>1.1275813176987435</v>
      </c>
      <c r="Y22" s="130">
        <f>W22/X22</f>
        <v>0.17750435695016226</v>
      </c>
      <c r="Z22" s="67">
        <f>((1/AL22)*W22*Y22^(2/3)*V22^(1/2))*1000</f>
        <v>343.85173292859793</v>
      </c>
      <c r="AA22" s="69">
        <f>(1/AL22)*Y22^(2/3)*V22^(1/2)</f>
        <v>1.717965065234029</v>
      </c>
      <c r="AB22" s="129">
        <f>AU22</f>
        <v>0.33575164348702646</v>
      </c>
      <c r="AC22" s="67">
        <f>AG22/AA22/60</f>
        <v>5.8208401336948927E-2</v>
      </c>
      <c r="AD22" s="131"/>
      <c r="AE22" s="70" t="s">
        <v>238</v>
      </c>
      <c r="AF22" s="62">
        <v>0.8</v>
      </c>
      <c r="AG22" s="69">
        <v>6</v>
      </c>
      <c r="AH22" s="117"/>
      <c r="AI22" s="19" t="str">
        <f>IF(AB22&lt;=AO22,"OK","REVER")</f>
        <v>OK</v>
      </c>
      <c r="AJ22" s="41" t="s">
        <v>108</v>
      </c>
      <c r="AK22" s="42" t="s">
        <v>98</v>
      </c>
      <c r="AL22" s="43">
        <v>1.2999999999999999E-2</v>
      </c>
      <c r="AM22" s="44"/>
      <c r="AN22" s="44"/>
      <c r="AO22" s="44">
        <v>0.68</v>
      </c>
      <c r="AP22" s="44"/>
      <c r="AQ22" s="44"/>
      <c r="AR22" s="45"/>
      <c r="AS22" s="44">
        <f>(U22/1000)*AL22*AF22^(-8/3)*V22^(-1/2)</f>
        <v>0.10991729959219715</v>
      </c>
      <c r="AT22" s="19">
        <f>IFERROR(((3*PI())/2)*SQRT(1-SQRT(1-SQRT(PI()*AS22))),"θ ≥ 270°")</f>
        <v>2.8189532942468585</v>
      </c>
      <c r="AU22" s="19">
        <f>IFERROR((AF22/2)*(1-COS(AT22/2)),"Yn &gt; 85%")</f>
        <v>0.33575164348702646</v>
      </c>
    </row>
    <row r="23" spans="1:47" ht="18.75" customHeight="1" x14ac:dyDescent="0.2">
      <c r="A23" s="32"/>
      <c r="B23" s="33"/>
      <c r="C23" s="46"/>
      <c r="D23" s="33"/>
      <c r="E23" s="33"/>
      <c r="F23" s="33"/>
      <c r="G23" s="46"/>
      <c r="H23" s="46"/>
      <c r="I23" s="46"/>
      <c r="J23" s="46"/>
      <c r="K23" s="46"/>
      <c r="L23" s="47"/>
      <c r="M23" s="46"/>
      <c r="N23" s="47"/>
      <c r="O23" s="47"/>
      <c r="P23" s="46"/>
      <c r="Q23" s="47"/>
      <c r="R23" s="48"/>
      <c r="S23" s="48"/>
      <c r="T23" s="48"/>
      <c r="U23" s="49"/>
      <c r="V23" s="50"/>
      <c r="W23" s="51"/>
      <c r="X23" s="47"/>
      <c r="Y23" s="47"/>
      <c r="Z23" s="48"/>
      <c r="AA23" s="46"/>
      <c r="AB23" s="47"/>
      <c r="AC23" s="48"/>
      <c r="AD23" s="48"/>
      <c r="AE23" s="52"/>
      <c r="AF23" s="53"/>
      <c r="AG23" s="54"/>
      <c r="AH23" s="117"/>
      <c r="AJ23" s="41"/>
      <c r="AK23" s="41"/>
      <c r="AL23" s="43"/>
      <c r="AM23" s="44"/>
      <c r="AN23" s="44"/>
      <c r="AO23" s="44"/>
      <c r="AP23" s="44"/>
      <c r="AQ23" s="44"/>
      <c r="AR23" s="45"/>
      <c r="AS23" s="44"/>
    </row>
    <row r="24" spans="1:47" ht="18.75" customHeight="1" x14ac:dyDescent="0.2">
      <c r="A24" s="32">
        <v>27</v>
      </c>
      <c r="B24" s="33" t="s">
        <v>2</v>
      </c>
      <c r="C24" s="46">
        <v>15.51</v>
      </c>
      <c r="D24" s="33" t="s">
        <v>1</v>
      </c>
      <c r="E24" s="33">
        <v>30</v>
      </c>
      <c r="F24" s="33" t="s">
        <v>2</v>
      </c>
      <c r="G24" s="54">
        <v>11.97</v>
      </c>
      <c r="H24" s="136">
        <v>3</v>
      </c>
      <c r="I24" s="55">
        <v>92.7</v>
      </c>
      <c r="J24" s="55">
        <v>91.399000000000001</v>
      </c>
      <c r="K24" s="56">
        <v>0.9</v>
      </c>
      <c r="L24" s="57">
        <f>(3*AG24)/10000</f>
        <v>1.6938000000000012E-2</v>
      </c>
      <c r="M24" s="56">
        <v>0.2</v>
      </c>
      <c r="N24" s="57">
        <f>(O24*AG24)/10000</f>
        <v>0.56460000000000032</v>
      </c>
      <c r="O24" s="56">
        <v>100</v>
      </c>
      <c r="P24" s="56">
        <f t="shared" ref="P24" si="4">(K24*L24+M24*N24)/(L24+N24)</f>
        <v>0.22038834951456313</v>
      </c>
      <c r="Q24" s="57">
        <f t="shared" ref="Q24" si="5">L24+N24</f>
        <v>0.58153800000000033</v>
      </c>
      <c r="R24" s="125">
        <v>5</v>
      </c>
      <c r="S24" s="125">
        <f>($P$3*$U$67^$Q$3)/(R24+$R$3)^$S$3</f>
        <v>131.2230745739565</v>
      </c>
      <c r="T24" s="125">
        <f t="shared" ref="T24" si="6">P24*Q24*S24*2.77777777777778</f>
        <v>46.716945484198611</v>
      </c>
      <c r="U24" s="125">
        <f t="shared" ref="U24" si="7">T24</f>
        <v>46.716945484198611</v>
      </c>
      <c r="V24" s="126">
        <f>(I24-J24)/AG24</f>
        <v>2.3042862203329812E-2</v>
      </c>
      <c r="W24" s="57">
        <f>((AB24^2)*(AP24+AQ24))/2</f>
        <v>2.7216353379321788E-2</v>
      </c>
      <c r="X24" s="57">
        <f>(SQRT((AB24^2)+((AB24*(AP24))^2)))+(SQRT((AB24^2)+((AB24*(AQ24))^2)))</f>
        <v>0.57508403472596759</v>
      </c>
      <c r="Y24" s="127">
        <f t="shared" ref="Y24" si="8">W24/X24</f>
        <v>4.7325871935030524E-2</v>
      </c>
      <c r="Z24" s="125">
        <f>W24*(1/AL24)*Y24^(2/3)*V24^(1/2)*1000</f>
        <v>36.036226144438132</v>
      </c>
      <c r="AA24" s="56">
        <f>(1/AL24)*Y24^(2/3)*V24^(1/2)</f>
        <v>1.3240651913278521</v>
      </c>
      <c r="AB24" s="57">
        <f>((U24/1000)/(0.375*SQRT(V24)*((AP24+AQ24)/AL24)))^(3/8)</f>
        <v>0.10754975679289916</v>
      </c>
      <c r="AC24" s="125">
        <f>AG24/AA24/60</f>
        <v>0.71069008245455756</v>
      </c>
      <c r="AD24" s="128">
        <f>((3.6*10^6)*W24*(Y24^(2/3))*(V24^(1/2)))/(AL24*P24*S24*O24)</f>
        <v>44.858315676209031</v>
      </c>
      <c r="AE24" s="58" t="s">
        <v>255</v>
      </c>
      <c r="AF24" s="59" t="str">
        <f>INDEX(TIPOS!K:K,MATCH($AE24,TIPOS!$A:$A,0))</f>
        <v>- 0,80 x 0,17</v>
      </c>
      <c r="AG24" s="56">
        <f>IF(A24&lt;E24,(((E24*20)+G24)-((A24*20)+C24)),(((A24*20)+C24)-((E24*20)+G24)))</f>
        <v>56.460000000000036</v>
      </c>
      <c r="AH24" s="117"/>
      <c r="AI24" s="19" t="str">
        <f>IF(AB24&lt;=AO24,"OK","REVER")</f>
        <v>OK</v>
      </c>
      <c r="AJ24" s="41" t="str">
        <f>INDEX(TIPOS!D:D,MATCH($AE24,TIPOS!$A:$A,0))</f>
        <v>Triangular</v>
      </c>
      <c r="AK24" s="42" t="str">
        <f>INDEX(TIPOS!B:B,MATCH($AE24,TIPOS!$A:$A,0))</f>
        <v>Concreto</v>
      </c>
      <c r="AL24" s="43">
        <f>INDEX(TIPOS!C:C,MATCH($AE24,TIPOS!$A:$A,0))</f>
        <v>1.4999999999999999E-2</v>
      </c>
      <c r="AM24" s="44">
        <f>INDEX(TIPOS!E:E,MATCH($AE24,TIPOS!$A:$A,0))</f>
        <v>0.68</v>
      </c>
      <c r="AN24" s="44">
        <f>INDEX(TIPOS!F:F,MATCH($AE24,TIPOS!$A:$A,0))</f>
        <v>0.12</v>
      </c>
      <c r="AO24" s="44">
        <f>INDEX(TIPOS!G:G,MATCH($AE24,TIPOS!$A:$A,0))</f>
        <v>0.17</v>
      </c>
      <c r="AP24" s="44">
        <f>INDEX(TIPOS!H:H,MATCH($AE24,TIPOS!$A:$A,0))</f>
        <v>4</v>
      </c>
      <c r="AQ24" s="44">
        <f>INDEX(TIPOS!I:I,MATCH($AE24,TIPOS!$A:$A,0))</f>
        <v>0.70588235294117641</v>
      </c>
      <c r="AR24" s="45"/>
      <c r="AS24" s="44"/>
    </row>
    <row r="25" spans="1:47" ht="18.75" customHeight="1" x14ac:dyDescent="0.2">
      <c r="A25" s="32"/>
      <c r="B25" s="33"/>
      <c r="C25" s="46"/>
      <c r="D25" s="33"/>
      <c r="E25" s="33"/>
      <c r="F25" s="33"/>
      <c r="G25" s="46"/>
      <c r="H25" s="46"/>
      <c r="I25" s="46"/>
      <c r="J25" s="46"/>
      <c r="K25" s="46"/>
      <c r="L25" s="47"/>
      <c r="M25" s="46"/>
      <c r="N25" s="47"/>
      <c r="O25" s="47"/>
      <c r="P25" s="46"/>
      <c r="Q25" s="47"/>
      <c r="R25" s="48"/>
      <c r="S25" s="48"/>
      <c r="T25" s="48"/>
      <c r="U25" s="49"/>
      <c r="V25" s="50"/>
      <c r="W25" s="51"/>
      <c r="X25" s="47"/>
      <c r="Y25" s="47"/>
      <c r="Z25" s="48"/>
      <c r="AA25" s="46"/>
      <c r="AB25" s="47"/>
      <c r="AC25" s="48"/>
      <c r="AD25" s="48"/>
      <c r="AE25" s="52"/>
      <c r="AF25" s="53"/>
      <c r="AG25" s="54"/>
      <c r="AH25" s="117"/>
      <c r="AJ25" s="41"/>
      <c r="AK25" s="41"/>
      <c r="AL25" s="43"/>
      <c r="AM25" s="44"/>
      <c r="AN25" s="44"/>
      <c r="AO25" s="44"/>
      <c r="AP25" s="44"/>
      <c r="AQ25" s="44"/>
      <c r="AR25" s="45"/>
      <c r="AS25" s="44"/>
    </row>
    <row r="26" spans="1:47" ht="18.75" customHeight="1" x14ac:dyDescent="0.2">
      <c r="A26" s="32">
        <v>31</v>
      </c>
      <c r="B26" s="33" t="s">
        <v>2</v>
      </c>
      <c r="C26" s="46">
        <v>15.93</v>
      </c>
      <c r="D26" s="33" t="s">
        <v>1</v>
      </c>
      <c r="E26" s="33">
        <v>30</v>
      </c>
      <c r="F26" s="33" t="s">
        <v>2</v>
      </c>
      <c r="G26" s="54">
        <v>11.97</v>
      </c>
      <c r="H26" s="54">
        <v>4</v>
      </c>
      <c r="I26" s="55">
        <v>92</v>
      </c>
      <c r="J26" s="55">
        <v>91.399000000000001</v>
      </c>
      <c r="K26" s="56">
        <v>0.9</v>
      </c>
      <c r="L26" s="57">
        <f>(3*AG26)/10000</f>
        <v>7.1879999999999765E-3</v>
      </c>
      <c r="M26" s="56">
        <v>0.2</v>
      </c>
      <c r="N26" s="57">
        <f>(O26*AG26)/10000</f>
        <v>0.23959999999999923</v>
      </c>
      <c r="O26" s="56">
        <v>100</v>
      </c>
      <c r="P26" s="56">
        <f t="shared" ref="P26" si="9">(K26*L26+M26*N26)/(L26+N26)</f>
        <v>0.22038834951456313</v>
      </c>
      <c r="Q26" s="57">
        <f t="shared" ref="Q26" si="10">L26+N26</f>
        <v>0.2467879999999992</v>
      </c>
      <c r="R26" s="125">
        <v>5</v>
      </c>
      <c r="S26" s="125">
        <f>($P$3*$U$67^$Q$3)/(R26+$R$3)^$S$3</f>
        <v>131.2230745739565</v>
      </c>
      <c r="T26" s="125">
        <f t="shared" ref="T26" si="11">P26*Q26*S26*2.77777777777778</f>
        <v>19.825327910049495</v>
      </c>
      <c r="U26" s="125">
        <f t="shared" ref="U26" si="12">T26</f>
        <v>19.825327910049495</v>
      </c>
      <c r="V26" s="126">
        <f>(I26-J26)/AG26</f>
        <v>2.5083472454090192E-2</v>
      </c>
      <c r="W26" s="57">
        <f>((AB26^2)*(AP26+AQ26))/2</f>
        <v>1.3861817501575171E-2</v>
      </c>
      <c r="X26" s="57">
        <f>(SQRT((AB26^2)+((AB26*(AP26))^2)))+(SQRT((AB26^2)+((AB26*(AQ26))^2)))</f>
        <v>0.41041803038429758</v>
      </c>
      <c r="Y26" s="127">
        <f t="shared" ref="Y26" si="13">W26/X26</f>
        <v>3.3774874579938823E-2</v>
      </c>
      <c r="Z26" s="125">
        <f>W26*(1/AL26)*Y26^(2/3)*V26^(1/2)*1000</f>
        <v>15.292737839545435</v>
      </c>
      <c r="AA26" s="56">
        <f>(1/AL26)*Y26^(2/3)*V26^(1/2)</f>
        <v>1.1032274691112953</v>
      </c>
      <c r="AB26" s="57">
        <f>((U26/1000)/(0.375*SQRT(V26)*((AP26+AQ26)/AL26)))^(3/8)</f>
        <v>7.6754624865016746E-2</v>
      </c>
      <c r="AC26" s="125">
        <f>AG26/AA26/60</f>
        <v>0.36196826539771976</v>
      </c>
      <c r="AD26" s="128">
        <f>((3.6*10^6)*W26*(Y26^(2/3))*(V26^(1/2)))/(AL26*P26*S26*O26)</f>
        <v>19.036578880658261</v>
      </c>
      <c r="AE26" s="58" t="s">
        <v>255</v>
      </c>
      <c r="AF26" s="59" t="str">
        <f>INDEX(TIPOS!K:K,MATCH($AE26,TIPOS!$A:$A,0))</f>
        <v>- 0,80 x 0,17</v>
      </c>
      <c r="AG26" s="56">
        <f>IF(A26&lt;E26,(((E26*20)+G26)-((A26*20)+C26)),(((A26*20)+C26)-((E26*20)+G26)))</f>
        <v>23.959999999999923</v>
      </c>
      <c r="AH26" s="117"/>
      <c r="AI26" s="19" t="str">
        <f>IF(AB26&lt;=AO26,"OK","REVER")</f>
        <v>OK</v>
      </c>
      <c r="AJ26" s="41" t="str">
        <f>INDEX(TIPOS!D:D,MATCH($AE26,TIPOS!$A:$A,0))</f>
        <v>Triangular</v>
      </c>
      <c r="AK26" s="42" t="str">
        <f>INDEX(TIPOS!B:B,MATCH($AE26,TIPOS!$A:$A,0))</f>
        <v>Concreto</v>
      </c>
      <c r="AL26" s="43">
        <f>INDEX(TIPOS!C:C,MATCH($AE26,TIPOS!$A:$A,0))</f>
        <v>1.4999999999999999E-2</v>
      </c>
      <c r="AM26" s="44">
        <f>INDEX(TIPOS!E:E,MATCH($AE26,TIPOS!$A:$A,0))</f>
        <v>0.68</v>
      </c>
      <c r="AN26" s="44">
        <f>INDEX(TIPOS!F:F,MATCH($AE26,TIPOS!$A:$A,0))</f>
        <v>0.12</v>
      </c>
      <c r="AO26" s="44">
        <f>INDEX(TIPOS!G:G,MATCH($AE26,TIPOS!$A:$A,0))</f>
        <v>0.17</v>
      </c>
      <c r="AP26" s="44">
        <f>INDEX(TIPOS!H:H,MATCH($AE26,TIPOS!$A:$A,0))</f>
        <v>4</v>
      </c>
      <c r="AQ26" s="44">
        <f>INDEX(TIPOS!I:I,MATCH($AE26,TIPOS!$A:$A,0))</f>
        <v>0.70588235294117641</v>
      </c>
      <c r="AR26" s="45"/>
      <c r="AS26" s="44"/>
    </row>
    <row r="27" spans="1:47" ht="18.75" customHeight="1" x14ac:dyDescent="0.2">
      <c r="A27" s="32"/>
      <c r="B27" s="33"/>
      <c r="C27" s="46"/>
      <c r="D27" s="33"/>
      <c r="E27" s="33"/>
      <c r="F27" s="33"/>
      <c r="G27" s="46"/>
      <c r="H27" s="46"/>
      <c r="I27" s="46"/>
      <c r="J27" s="46"/>
      <c r="K27" s="46"/>
      <c r="L27" s="47"/>
      <c r="M27" s="46"/>
      <c r="N27" s="47"/>
      <c r="O27" s="47"/>
      <c r="P27" s="46"/>
      <c r="Q27" s="47"/>
      <c r="R27" s="48"/>
      <c r="S27" s="48"/>
      <c r="T27" s="48"/>
      <c r="U27" s="49"/>
      <c r="V27" s="50"/>
      <c r="W27" s="51"/>
      <c r="X27" s="47"/>
      <c r="Y27" s="47"/>
      <c r="Z27" s="48"/>
      <c r="AA27" s="46"/>
      <c r="AB27" s="47"/>
      <c r="AC27" s="48"/>
      <c r="AD27" s="48"/>
      <c r="AE27" s="52"/>
      <c r="AF27" s="53"/>
      <c r="AG27" s="54"/>
      <c r="AH27" s="117"/>
      <c r="AJ27" s="41"/>
      <c r="AK27" s="41"/>
      <c r="AL27" s="43"/>
      <c r="AM27" s="44"/>
      <c r="AN27" s="44"/>
      <c r="AO27" s="44"/>
      <c r="AP27" s="44"/>
      <c r="AQ27" s="44"/>
      <c r="AR27" s="45"/>
      <c r="AS27" s="44"/>
    </row>
    <row r="28" spans="1:47" ht="18.75" customHeight="1" x14ac:dyDescent="0.2">
      <c r="A28" s="120" t="s">
        <v>249</v>
      </c>
      <c r="B28" s="60"/>
      <c r="C28" s="61"/>
      <c r="D28" s="60"/>
      <c r="E28" s="60">
        <v>30</v>
      </c>
      <c r="F28" s="60" t="s">
        <v>2</v>
      </c>
      <c r="G28" s="62">
        <v>11.97</v>
      </c>
      <c r="H28" s="62" t="s">
        <v>236</v>
      </c>
      <c r="I28" s="63"/>
      <c r="J28" s="64"/>
      <c r="K28" s="61"/>
      <c r="L28" s="64"/>
      <c r="M28" s="61"/>
      <c r="N28" s="64"/>
      <c r="O28" s="61"/>
      <c r="P28" s="61"/>
      <c r="Q28" s="64"/>
      <c r="R28" s="65"/>
      <c r="S28" s="65"/>
      <c r="T28" s="66"/>
      <c r="U28" s="67">
        <f>U24+U26</f>
        <v>66.542273394248099</v>
      </c>
      <c r="V28" s="68">
        <v>5.0000000000000001E-3</v>
      </c>
      <c r="W28" s="129">
        <f>((AF28^2)/8)*(AT28-SIN(AT28))</f>
        <v>6.3785250509390143E-2</v>
      </c>
      <c r="X28" s="129">
        <f>(AF28/2)*AT28</f>
        <v>0.7105113493203552</v>
      </c>
      <c r="Y28" s="130">
        <f>W28/X28</f>
        <v>8.9773725036770197E-2</v>
      </c>
      <c r="Z28" s="67">
        <f>((1/AL28)*W28*Y28^(2/3)*V28^(1/2))*1000</f>
        <v>69.560294609736729</v>
      </c>
      <c r="AA28" s="69">
        <f>(1/AL28)*Y28^(2/3)*V28^(1/2)</f>
        <v>1.0905388636750184</v>
      </c>
      <c r="AB28" s="129">
        <f>AU28</f>
        <v>0.14765723139537507</v>
      </c>
      <c r="AC28" s="67">
        <f>AG28/AA28/60</f>
        <v>9.1697786599744785E-2</v>
      </c>
      <c r="AD28" s="131"/>
      <c r="AE28" s="70" t="s">
        <v>238</v>
      </c>
      <c r="AF28" s="62">
        <v>0.8</v>
      </c>
      <c r="AG28" s="69">
        <v>6</v>
      </c>
      <c r="AH28" s="117"/>
      <c r="AI28" s="19" t="str">
        <f>IF(AB28&lt;=AO28,"OK","REVER")</f>
        <v>OK</v>
      </c>
      <c r="AJ28" s="41" t="s">
        <v>108</v>
      </c>
      <c r="AK28" s="42" t="s">
        <v>98</v>
      </c>
      <c r="AL28" s="43">
        <v>1.2999999999999999E-2</v>
      </c>
      <c r="AM28" s="44"/>
      <c r="AN28" s="44"/>
      <c r="AO28" s="44">
        <v>0.68</v>
      </c>
      <c r="AP28" s="44"/>
      <c r="AQ28" s="44"/>
      <c r="AR28" s="45"/>
      <c r="AS28" s="44">
        <f>(U28/1000)*AL28*AF28^(-8/3)*V28^(-1/2)</f>
        <v>2.2181079878172045E-2</v>
      </c>
      <c r="AT28" s="19">
        <f>IFERROR(((3*PI())/2)*SQRT(1-SQRT(1-SQRT(PI()*AS28))),"θ ≥ 270°")</f>
        <v>1.776278373300888</v>
      </c>
      <c r="AU28" s="19">
        <f>IFERROR((AF28/2)*(1-COS(AT28/2)),"Yn &gt; 85%")</f>
        <v>0.14765723139537507</v>
      </c>
    </row>
    <row r="29" spans="1:47" ht="18.75" customHeight="1" x14ac:dyDescent="0.2">
      <c r="A29" s="32"/>
      <c r="B29" s="33"/>
      <c r="C29" s="46"/>
      <c r="D29" s="33"/>
      <c r="E29" s="33"/>
      <c r="F29" s="33"/>
      <c r="G29" s="46"/>
      <c r="H29" s="46"/>
      <c r="I29" s="46"/>
      <c r="J29" s="46"/>
      <c r="K29" s="46"/>
      <c r="L29" s="47"/>
      <c r="M29" s="46"/>
      <c r="N29" s="47"/>
      <c r="O29" s="47"/>
      <c r="P29" s="46"/>
      <c r="Q29" s="47"/>
      <c r="R29" s="48"/>
      <c r="S29" s="48"/>
      <c r="T29" s="48"/>
      <c r="U29" s="49"/>
      <c r="V29" s="50"/>
      <c r="W29" s="51"/>
      <c r="X29" s="47"/>
      <c r="Y29" s="47"/>
      <c r="Z29" s="48"/>
      <c r="AA29" s="46"/>
      <c r="AB29" s="47"/>
      <c r="AC29" s="48"/>
      <c r="AD29" s="48"/>
      <c r="AE29" s="52"/>
      <c r="AF29" s="53"/>
      <c r="AG29" s="54"/>
      <c r="AH29" s="117"/>
      <c r="AJ29" s="41"/>
      <c r="AK29" s="41"/>
      <c r="AL29" s="43"/>
      <c r="AM29" s="44"/>
      <c r="AN29" s="44"/>
      <c r="AO29" s="44"/>
      <c r="AP29" s="44"/>
      <c r="AQ29" s="44"/>
      <c r="AR29" s="45"/>
      <c r="AS29" s="44"/>
    </row>
    <row r="30" spans="1:47" ht="18.75" customHeight="1" x14ac:dyDescent="0.2">
      <c r="A30" s="32">
        <v>31</v>
      </c>
      <c r="B30" s="33" t="s">
        <v>2</v>
      </c>
      <c r="C30" s="46">
        <v>15.93</v>
      </c>
      <c r="D30" s="33" t="s">
        <v>1</v>
      </c>
      <c r="E30" s="33">
        <v>35</v>
      </c>
      <c r="F30" s="33" t="s">
        <v>2</v>
      </c>
      <c r="G30" s="54">
        <v>3.74</v>
      </c>
      <c r="H30" s="54">
        <v>5</v>
      </c>
      <c r="I30" s="55">
        <v>92</v>
      </c>
      <c r="J30" s="55">
        <v>90.9</v>
      </c>
      <c r="K30" s="56">
        <v>0.9</v>
      </c>
      <c r="L30" s="57">
        <f>(3*AG30)/10000</f>
        <v>2.0343000000000017E-2</v>
      </c>
      <c r="M30" s="56">
        <v>0.2</v>
      </c>
      <c r="N30" s="57">
        <f>(O30*AG30)/10000</f>
        <v>0.67810000000000059</v>
      </c>
      <c r="O30" s="56">
        <v>100</v>
      </c>
      <c r="P30" s="56">
        <f t="shared" ref="P30" si="14">(K30*L30+M30*N30)/(L30+N30)</f>
        <v>0.22038834951456313</v>
      </c>
      <c r="Q30" s="57">
        <f t="shared" ref="Q30" si="15">L30+N30</f>
        <v>0.69844300000000059</v>
      </c>
      <c r="R30" s="125">
        <v>5</v>
      </c>
      <c r="S30" s="125">
        <f>($P$3*$U$67^$Q$3)/(R30+$R$3)^$S$3</f>
        <v>131.2230745739565</v>
      </c>
      <c r="T30" s="125">
        <f t="shared" ref="T30" si="16">P30*Q30*S30*2.77777777777778</f>
        <v>56.10832577547837</v>
      </c>
      <c r="U30" s="125">
        <f t="shared" ref="U30" si="17">T30</f>
        <v>56.10832577547837</v>
      </c>
      <c r="V30" s="126">
        <f>(I30-J30)/AG30</f>
        <v>1.622179619525134E-2</v>
      </c>
      <c r="W30" s="57">
        <f>((AB30^2)*(AP30+AQ30))/2</f>
        <v>3.561710723768096E-2</v>
      </c>
      <c r="X30" s="57">
        <f>(SQRT((AB30^2)+((AB30*(AP30))^2)))+(SQRT((AB30^2)+((AB30*(AQ30))^2)))</f>
        <v>0.65787845733639572</v>
      </c>
      <c r="Y30" s="127">
        <f t="shared" ref="Y30" si="18">W30/X30</f>
        <v>5.4139342671117009E-2</v>
      </c>
      <c r="Z30" s="125">
        <f>W30*(1/AL30)*Y30^(2/3)*V30^(1/2)*1000</f>
        <v>43.280490521685316</v>
      </c>
      <c r="AA30" s="56">
        <f>(1/AL30)*Y30^(2/3)*V30^(1/2)</f>
        <v>1.2151601822367233</v>
      </c>
      <c r="AB30" s="57">
        <f>((U30/1000)/(0.375*SQRT(V30)*((AP30+AQ30)/AL30)))^(3/8)</f>
        <v>0.12303361563416076</v>
      </c>
      <c r="AC30" s="125">
        <f>AG30/AA30/60</f>
        <v>0.93005571050426483</v>
      </c>
      <c r="AD30" s="128">
        <f>((3.6*10^6)*W30*(Y30^(2/3))*(V30^(1/2)))/(AL30*P30*S30*O30)</f>
        <v>53.876060680193724</v>
      </c>
      <c r="AE30" s="58" t="s">
        <v>255</v>
      </c>
      <c r="AF30" s="59" t="str">
        <f>INDEX(TIPOS!K:K,MATCH($AE30,TIPOS!$A:$A,0))</f>
        <v>- 0,80 x 0,17</v>
      </c>
      <c r="AG30" s="56">
        <f>IF(A30&lt;E30,(((E30*20)+G30)-((A30*20)+C30)),(((A30*20)+C30)-((E30*20)+G30)))</f>
        <v>67.810000000000059</v>
      </c>
      <c r="AH30" s="117"/>
      <c r="AI30" s="19" t="str">
        <f>IF(AB30&lt;=AO30,"OK","REVER")</f>
        <v>OK</v>
      </c>
      <c r="AJ30" s="41" t="str">
        <f>INDEX(TIPOS!D:D,MATCH($AE30,TIPOS!$A:$A,0))</f>
        <v>Triangular</v>
      </c>
      <c r="AK30" s="42" t="str">
        <f>INDEX(TIPOS!B:B,MATCH($AE30,TIPOS!$A:$A,0))</f>
        <v>Concreto</v>
      </c>
      <c r="AL30" s="43">
        <f>INDEX(TIPOS!C:C,MATCH($AE30,TIPOS!$A:$A,0))</f>
        <v>1.4999999999999999E-2</v>
      </c>
      <c r="AM30" s="44">
        <f>INDEX(TIPOS!E:E,MATCH($AE30,TIPOS!$A:$A,0))</f>
        <v>0.68</v>
      </c>
      <c r="AN30" s="44">
        <f>INDEX(TIPOS!F:F,MATCH($AE30,TIPOS!$A:$A,0))</f>
        <v>0.12</v>
      </c>
      <c r="AO30" s="44">
        <f>INDEX(TIPOS!G:G,MATCH($AE30,TIPOS!$A:$A,0))</f>
        <v>0.17</v>
      </c>
      <c r="AP30" s="44">
        <f>INDEX(TIPOS!H:H,MATCH($AE30,TIPOS!$A:$A,0))</f>
        <v>4</v>
      </c>
      <c r="AQ30" s="44">
        <f>INDEX(TIPOS!I:I,MATCH($AE30,TIPOS!$A:$A,0))</f>
        <v>0.70588235294117641</v>
      </c>
      <c r="AR30" s="45"/>
      <c r="AS30" s="44"/>
    </row>
    <row r="31" spans="1:47" ht="18.75" customHeight="1" x14ac:dyDescent="0.2">
      <c r="A31" s="32"/>
      <c r="B31" s="33"/>
      <c r="C31" s="46"/>
      <c r="D31" s="33"/>
      <c r="E31" s="33"/>
      <c r="F31" s="33"/>
      <c r="G31" s="46"/>
      <c r="H31" s="46"/>
      <c r="I31" s="46"/>
      <c r="J31" s="46"/>
      <c r="K31" s="46"/>
      <c r="L31" s="47"/>
      <c r="M31" s="46"/>
      <c r="N31" s="47"/>
      <c r="O31" s="47"/>
      <c r="P31" s="46"/>
      <c r="Q31" s="47"/>
      <c r="R31" s="48"/>
      <c r="S31" s="48"/>
      <c r="T31" s="48"/>
      <c r="U31" s="49"/>
      <c r="V31" s="50"/>
      <c r="W31" s="51"/>
      <c r="X31" s="47"/>
      <c r="Y31" s="47"/>
      <c r="Z31" s="48"/>
      <c r="AA31" s="46"/>
      <c r="AB31" s="47"/>
      <c r="AC31" s="48"/>
      <c r="AD31" s="48"/>
      <c r="AE31" s="52"/>
      <c r="AF31" s="53"/>
      <c r="AG31" s="54"/>
      <c r="AH31" s="117"/>
      <c r="AJ31" s="41"/>
      <c r="AK31" s="41"/>
      <c r="AL31" s="43"/>
      <c r="AM31" s="44"/>
      <c r="AN31" s="44"/>
      <c r="AO31" s="44"/>
      <c r="AP31" s="44"/>
      <c r="AQ31" s="44"/>
      <c r="AR31" s="45"/>
      <c r="AS31" s="44"/>
    </row>
    <row r="32" spans="1:47" ht="18.75" customHeight="1" x14ac:dyDescent="0.2">
      <c r="A32" s="32">
        <v>48</v>
      </c>
      <c r="B32" s="33" t="s">
        <v>2</v>
      </c>
      <c r="C32" s="46">
        <v>5.1100000000000003</v>
      </c>
      <c r="D32" s="33" t="s">
        <v>1</v>
      </c>
      <c r="E32" s="33">
        <v>35</v>
      </c>
      <c r="F32" s="33" t="s">
        <v>2</v>
      </c>
      <c r="G32" s="54">
        <v>3.74</v>
      </c>
      <c r="H32" s="54">
        <v>6</v>
      </c>
      <c r="I32" s="55">
        <v>99.55</v>
      </c>
      <c r="J32" s="55">
        <v>90.9</v>
      </c>
      <c r="K32" s="56">
        <v>0.9</v>
      </c>
      <c r="L32" s="57">
        <f>(3*AG32)/10000</f>
        <v>7.8410999999999995E-2</v>
      </c>
      <c r="M32" s="56">
        <v>0.2</v>
      </c>
      <c r="N32" s="57">
        <f>(O32*AG32)/10000</f>
        <v>2.6137000000000001</v>
      </c>
      <c r="O32" s="56">
        <v>100</v>
      </c>
      <c r="P32" s="56">
        <f t="shared" ref="P32" si="19">(K32*L32+M32*N32)/(L32+N32)</f>
        <v>0.22038834951456313</v>
      </c>
      <c r="Q32" s="57">
        <f t="shared" ref="Q32" si="20">L32+N32</f>
        <v>2.6921110000000001</v>
      </c>
      <c r="R32" s="125">
        <v>5</v>
      </c>
      <c r="S32" s="125">
        <f>($P$3*$U$67^$Q$3)/(R32+$R$3)^$S$3</f>
        <v>131.2230745739565</v>
      </c>
      <c r="T32" s="125">
        <f t="shared" ref="T32" si="21">P32*Q32*S32*2.77777777777778</f>
        <v>216.26652570324094</v>
      </c>
      <c r="U32" s="125">
        <f t="shared" ref="U32" si="22">T32</f>
        <v>216.26652570324094</v>
      </c>
      <c r="V32" s="126">
        <f>(I32-J32)/AG32</f>
        <v>3.3094846386348818E-2</v>
      </c>
      <c r="W32" s="57">
        <f>((AB32^2)*(AP32+AQ32))/2</f>
        <v>7.4990647448046149E-2</v>
      </c>
      <c r="X32" s="57">
        <f>(SQRT((AB32^2)+((AB32*(AP32))^2)))+(SQRT((AB32^2)+((AB32*(AQ32))^2)))</f>
        <v>0.9545966259926556</v>
      </c>
      <c r="Y32" s="127">
        <f t="shared" ref="Y32" si="23">W32/X32</f>
        <v>7.8557419339363041E-2</v>
      </c>
      <c r="Z32" s="125">
        <f>W32*(1/AL32)*Y32^(2/3)*V32^(1/2)*1000</f>
        <v>166.82232425383987</v>
      </c>
      <c r="AA32" s="56">
        <f>(1/AL32)*Y32^(2/3)*V32^(1/2)</f>
        <v>2.2245750627691954</v>
      </c>
      <c r="AB32" s="57">
        <f>((U32/1000)/(0.375*SQRT(V32)*((AP32+AQ32)/AL32)))^(3/8)</f>
        <v>0.17852457860311452</v>
      </c>
      <c r="AC32" s="125">
        <f>AG32/AA32/60</f>
        <v>1.9582016986399298</v>
      </c>
      <c r="AD32" s="128">
        <f>((3.6*10^6)*W32*(Y32^(2/3))*(V32^(1/2)))/(AL32*P32*S32*O32)</f>
        <v>207.66237988471056</v>
      </c>
      <c r="AE32" s="58" t="s">
        <v>255</v>
      </c>
      <c r="AF32" s="59" t="str">
        <f>INDEX(TIPOS!K:K,MATCH($AE32,TIPOS!$A:$A,0))</f>
        <v>- 0,80 x 0,17</v>
      </c>
      <c r="AG32" s="56">
        <f>IF(A32&lt;E32,(((E32*20)+G32)-((A32*20)+C32)),(((A32*20)+C32)-((E32*20)+G32)))</f>
        <v>261.37</v>
      </c>
      <c r="AH32" s="117"/>
      <c r="AI32" s="19" t="str">
        <f>IF(AB32&lt;=AO32,"OK","REVER")</f>
        <v>REVER</v>
      </c>
      <c r="AJ32" s="41" t="str">
        <f>INDEX(TIPOS!D:D,MATCH($AE32,TIPOS!$A:$A,0))</f>
        <v>Triangular</v>
      </c>
      <c r="AK32" s="42" t="str">
        <f>INDEX(TIPOS!B:B,MATCH($AE32,TIPOS!$A:$A,0))</f>
        <v>Concreto</v>
      </c>
      <c r="AL32" s="43">
        <f>INDEX(TIPOS!C:C,MATCH($AE32,TIPOS!$A:$A,0))</f>
        <v>1.4999999999999999E-2</v>
      </c>
      <c r="AM32" s="44">
        <f>INDEX(TIPOS!E:E,MATCH($AE32,TIPOS!$A:$A,0))</f>
        <v>0.68</v>
      </c>
      <c r="AN32" s="44">
        <f>INDEX(TIPOS!F:F,MATCH($AE32,TIPOS!$A:$A,0))</f>
        <v>0.12</v>
      </c>
      <c r="AO32" s="44">
        <f>INDEX(TIPOS!G:G,MATCH($AE32,TIPOS!$A:$A,0))</f>
        <v>0.17</v>
      </c>
      <c r="AP32" s="44">
        <f>INDEX(TIPOS!H:H,MATCH($AE32,TIPOS!$A:$A,0))</f>
        <v>4</v>
      </c>
      <c r="AQ32" s="44">
        <f>INDEX(TIPOS!I:I,MATCH($AE32,TIPOS!$A:$A,0))</f>
        <v>0.70588235294117641</v>
      </c>
      <c r="AR32" s="45"/>
      <c r="AS32" s="44"/>
    </row>
    <row r="33" spans="1:47" ht="18.75" customHeight="1" x14ac:dyDescent="0.2">
      <c r="A33" s="32"/>
      <c r="B33" s="33"/>
      <c r="C33" s="46"/>
      <c r="D33" s="33"/>
      <c r="E33" s="33"/>
      <c r="F33" s="33"/>
      <c r="G33" s="46"/>
      <c r="H33" s="46"/>
      <c r="I33" s="46"/>
      <c r="J33" s="46"/>
      <c r="K33" s="46"/>
      <c r="L33" s="47"/>
      <c r="M33" s="46"/>
      <c r="N33" s="47"/>
      <c r="O33" s="47"/>
      <c r="P33" s="46"/>
      <c r="Q33" s="47"/>
      <c r="R33" s="48"/>
      <c r="S33" s="48"/>
      <c r="T33" s="48"/>
      <c r="U33" s="49"/>
      <c r="V33" s="50"/>
      <c r="W33" s="51"/>
      <c r="X33" s="47"/>
      <c r="Y33" s="47"/>
      <c r="Z33" s="48"/>
      <c r="AA33" s="46"/>
      <c r="AB33" s="47"/>
      <c r="AC33" s="48"/>
      <c r="AD33" s="48"/>
      <c r="AE33" s="52"/>
      <c r="AF33" s="53"/>
      <c r="AG33" s="54"/>
      <c r="AH33" s="117"/>
      <c r="AJ33" s="41"/>
      <c r="AK33" s="41"/>
      <c r="AL33" s="43"/>
      <c r="AM33" s="44"/>
      <c r="AN33" s="44"/>
      <c r="AO33" s="44"/>
      <c r="AP33" s="44"/>
      <c r="AQ33" s="44"/>
      <c r="AR33" s="45"/>
      <c r="AS33" s="44"/>
    </row>
    <row r="34" spans="1:47" ht="18.75" customHeight="1" x14ac:dyDescent="0.2">
      <c r="A34" s="120" t="s">
        <v>249</v>
      </c>
      <c r="B34" s="60"/>
      <c r="C34" s="61"/>
      <c r="D34" s="60"/>
      <c r="E34" s="60">
        <v>35</v>
      </c>
      <c r="F34" s="60" t="s">
        <v>2</v>
      </c>
      <c r="G34" s="62">
        <v>3.74</v>
      </c>
      <c r="H34" s="62" t="s">
        <v>236</v>
      </c>
      <c r="I34" s="63"/>
      <c r="J34" s="64"/>
      <c r="K34" s="61"/>
      <c r="L34" s="64"/>
      <c r="M34" s="61"/>
      <c r="N34" s="64"/>
      <c r="O34" s="61"/>
      <c r="P34" s="61"/>
      <c r="Q34" s="64"/>
      <c r="R34" s="65"/>
      <c r="S34" s="65"/>
      <c r="T34" s="66"/>
      <c r="U34" s="67">
        <f>U30+U32</f>
        <v>272.37485147871934</v>
      </c>
      <c r="V34" s="68">
        <v>5.0000000000000001E-3</v>
      </c>
      <c r="W34" s="129">
        <f>((AF34^2)/8)*(AT34-SIN(AT34))</f>
        <v>0.1749797663972156</v>
      </c>
      <c r="X34" s="129">
        <f>(AF34/2)*AT34</f>
        <v>1.061971087491832</v>
      </c>
      <c r="Y34" s="130">
        <f>W34/X34</f>
        <v>0.16476886090230911</v>
      </c>
      <c r="Z34" s="67">
        <f>((1/AL34)*W34*Y34^(2/3)*V34^(1/2))*1000</f>
        <v>286.0528254403601</v>
      </c>
      <c r="AA34" s="69">
        <f>(1/AL34)*Y34^(2/3)*V34^(1/2)</f>
        <v>1.634776587774162</v>
      </c>
      <c r="AB34" s="129">
        <f>AU34</f>
        <v>0.30362469891288268</v>
      </c>
      <c r="AC34" s="67">
        <f>AG34/AA34/60</f>
        <v>6.1170438057322245E-2</v>
      </c>
      <c r="AD34" s="131"/>
      <c r="AE34" s="70" t="s">
        <v>238</v>
      </c>
      <c r="AF34" s="62">
        <v>0.8</v>
      </c>
      <c r="AG34" s="69">
        <v>6</v>
      </c>
      <c r="AH34" s="117"/>
      <c r="AI34" s="19" t="str">
        <f>IF(AB34&lt;=AO34,"OK","REVER")</f>
        <v>OK</v>
      </c>
      <c r="AJ34" s="41" t="s">
        <v>108</v>
      </c>
      <c r="AK34" s="42" t="s">
        <v>98</v>
      </c>
      <c r="AL34" s="43">
        <v>1.2999999999999999E-2</v>
      </c>
      <c r="AM34" s="44"/>
      <c r="AN34" s="44"/>
      <c r="AO34" s="44">
        <v>0.68</v>
      </c>
      <c r="AP34" s="44"/>
      <c r="AQ34" s="44"/>
      <c r="AR34" s="45"/>
      <c r="AS34" s="44">
        <f>(U34/1000)*AL34*AF34^(-8/3)*V34^(-1/2)</f>
        <v>9.0792935517242976E-2</v>
      </c>
      <c r="AT34" s="19">
        <f>IFERROR(((3*PI())/2)*SQRT(1-SQRT(1-SQRT(PI()*AS34))),"θ ≥ 270°")</f>
        <v>2.6549277187295797</v>
      </c>
      <c r="AU34" s="19">
        <f>IFERROR((AF34/2)*(1-COS(AT34/2)),"Yn &gt; 85%")</f>
        <v>0.30362469891288268</v>
      </c>
    </row>
    <row r="35" spans="1:47" ht="18.75" customHeight="1" x14ac:dyDescent="0.2">
      <c r="A35" s="32"/>
      <c r="B35" s="33"/>
      <c r="C35" s="46"/>
      <c r="D35" s="33"/>
      <c r="E35" s="33"/>
      <c r="F35" s="33"/>
      <c r="G35" s="46"/>
      <c r="H35" s="46"/>
      <c r="I35" s="46"/>
      <c r="J35" s="46"/>
      <c r="K35" s="46"/>
      <c r="L35" s="47"/>
      <c r="M35" s="46"/>
      <c r="N35" s="47"/>
      <c r="O35" s="47"/>
      <c r="P35" s="46"/>
      <c r="Q35" s="47"/>
      <c r="R35" s="48"/>
      <c r="S35" s="48"/>
      <c r="T35" s="48"/>
      <c r="U35" s="49"/>
      <c r="V35" s="50"/>
      <c r="W35" s="51"/>
      <c r="X35" s="47"/>
      <c r="Y35" s="47"/>
      <c r="Z35" s="48"/>
      <c r="AA35" s="46"/>
      <c r="AB35" s="47"/>
      <c r="AC35" s="48"/>
      <c r="AD35" s="48"/>
      <c r="AE35" s="52"/>
      <c r="AF35" s="53"/>
      <c r="AG35" s="54"/>
      <c r="AH35" s="117"/>
      <c r="AJ35" s="41"/>
      <c r="AK35" s="41"/>
      <c r="AL35" s="43"/>
      <c r="AM35" s="44"/>
      <c r="AN35" s="44"/>
      <c r="AO35" s="44"/>
      <c r="AP35" s="44"/>
      <c r="AQ35" s="44"/>
      <c r="AR35" s="45"/>
      <c r="AS35" s="44"/>
    </row>
    <row r="36" spans="1:47" ht="18.75" customHeight="1" x14ac:dyDescent="0.2">
      <c r="A36" s="32">
        <v>48</v>
      </c>
      <c r="B36" s="33" t="s">
        <v>2</v>
      </c>
      <c r="C36" s="46">
        <v>5.1100000000000003</v>
      </c>
      <c r="D36" s="33" t="s">
        <v>1</v>
      </c>
      <c r="E36" s="33">
        <v>57</v>
      </c>
      <c r="F36" s="33" t="s">
        <v>2</v>
      </c>
      <c r="G36" s="54">
        <v>17.059999999999999</v>
      </c>
      <c r="H36" s="54">
        <v>7</v>
      </c>
      <c r="I36" s="55">
        <v>99.55</v>
      </c>
      <c r="J36" s="55">
        <v>97.34</v>
      </c>
      <c r="K36" s="56">
        <v>0.9</v>
      </c>
      <c r="L36" s="57">
        <f>(3*AG36)/10000</f>
        <v>5.7584999999999976E-2</v>
      </c>
      <c r="M36" s="56">
        <v>0.2</v>
      </c>
      <c r="N36" s="57">
        <f>(O36*AG36)/10000</f>
        <v>1.9194999999999993</v>
      </c>
      <c r="O36" s="56">
        <v>100</v>
      </c>
      <c r="P36" s="56">
        <f t="shared" ref="P36" si="24">(K36*L36+M36*N36)/(L36+N36)</f>
        <v>0.22038834951456313</v>
      </c>
      <c r="Q36" s="57">
        <f t="shared" ref="Q36" si="25">L36+N36</f>
        <v>1.9770849999999993</v>
      </c>
      <c r="R36" s="125">
        <v>5</v>
      </c>
      <c r="S36" s="125">
        <f>($P$3*$U$67^$Q$3)/(R36+$R$3)^$S$3</f>
        <v>131.2230745739565</v>
      </c>
      <c r="T36" s="125">
        <f t="shared" ref="T36" si="26">P36*Q36*S36*2.77777777777778</f>
        <v>158.82603056485857</v>
      </c>
      <c r="U36" s="125">
        <f t="shared" ref="U36" si="27">T36</f>
        <v>158.82603056485857</v>
      </c>
      <c r="V36" s="126">
        <f>(I36-J36)/AG36</f>
        <v>1.1513414951810338E-2</v>
      </c>
      <c r="W36" s="57">
        <f>((AB36^2)*(AP36+AQ36))/2</f>
        <v>8.839240832396747E-2</v>
      </c>
      <c r="X36" s="57">
        <f>(SQRT((AB36^2)+((AB36*(AP36))^2)))+(SQRT((AB36^2)+((AB36*(AQ36))^2)))</f>
        <v>1.0363914626954769</v>
      </c>
      <c r="Y36" s="127">
        <f t="shared" ref="Y36" si="28">W36/X36</f>
        <v>8.5288630315492886E-2</v>
      </c>
      <c r="Z36" s="125">
        <f>W36*(1/AL36)*Y36^(2/3)*V36^(1/2)*1000</f>
        <v>122.51423323458921</v>
      </c>
      <c r="AA36" s="56">
        <f>(1/AL36)*Y36^(2/3)*V36^(1/2)</f>
        <v>1.3860266459259902</v>
      </c>
      <c r="AB36" s="57">
        <f>((U36/1000)/(0.375*SQRT(V36)*((AP36+AQ36)/AL36)))^(3/8)</f>
        <v>0.1938214991627249</v>
      </c>
      <c r="AC36" s="125">
        <f>AG36/AA36/60</f>
        <v>2.3081566837622627</v>
      </c>
      <c r="AD36" s="128">
        <f>((3.6*10^6)*W36*(Y36^(2/3))*(V36^(1/2)))/(AL36*P36*S36*O36)</f>
        <v>152.5071500894143</v>
      </c>
      <c r="AE36" s="58" t="s">
        <v>255</v>
      </c>
      <c r="AF36" s="59" t="str">
        <f>INDEX(TIPOS!K:K,MATCH($AE36,TIPOS!$A:$A,0))</f>
        <v>- 0,80 x 0,17</v>
      </c>
      <c r="AG36" s="56">
        <f>IF(A36&lt;E36,(((E36*20)+G36)-((A36*20)+C36)),(((A36*20)+C36)-((E36*20)+G36)))</f>
        <v>191.94999999999993</v>
      </c>
      <c r="AH36" s="117"/>
      <c r="AI36" s="19" t="str">
        <f>IF(AB36&lt;=AO36,"OK","REVER")</f>
        <v>REVER</v>
      </c>
      <c r="AJ36" s="41" t="str">
        <f>INDEX(TIPOS!D:D,MATCH($AE36,TIPOS!$A:$A,0))</f>
        <v>Triangular</v>
      </c>
      <c r="AK36" s="42" t="str">
        <f>INDEX(TIPOS!B:B,MATCH($AE36,TIPOS!$A:$A,0))</f>
        <v>Concreto</v>
      </c>
      <c r="AL36" s="43">
        <f>INDEX(TIPOS!C:C,MATCH($AE36,TIPOS!$A:$A,0))</f>
        <v>1.4999999999999999E-2</v>
      </c>
      <c r="AM36" s="44">
        <f>INDEX(TIPOS!E:E,MATCH($AE36,TIPOS!$A:$A,0))</f>
        <v>0.68</v>
      </c>
      <c r="AN36" s="44">
        <f>INDEX(TIPOS!F:F,MATCH($AE36,TIPOS!$A:$A,0))</f>
        <v>0.12</v>
      </c>
      <c r="AO36" s="44">
        <f>INDEX(TIPOS!G:G,MATCH($AE36,TIPOS!$A:$A,0))</f>
        <v>0.17</v>
      </c>
      <c r="AP36" s="44">
        <f>INDEX(TIPOS!H:H,MATCH($AE36,TIPOS!$A:$A,0))</f>
        <v>4</v>
      </c>
      <c r="AQ36" s="44">
        <f>INDEX(TIPOS!I:I,MATCH($AE36,TIPOS!$A:$A,0))</f>
        <v>0.70588235294117641</v>
      </c>
      <c r="AR36" s="45"/>
      <c r="AS36" s="44"/>
    </row>
    <row r="37" spans="1:47" ht="18.75" customHeight="1" x14ac:dyDescent="0.2">
      <c r="A37" s="32"/>
      <c r="B37" s="33"/>
      <c r="C37" s="46"/>
      <c r="D37" s="33"/>
      <c r="E37" s="33"/>
      <c r="F37" s="33"/>
      <c r="G37" s="46"/>
      <c r="H37" s="46"/>
      <c r="I37" s="46"/>
      <c r="J37" s="46"/>
      <c r="K37" s="46"/>
      <c r="L37" s="47"/>
      <c r="M37" s="46"/>
      <c r="N37" s="47"/>
      <c r="O37" s="47"/>
      <c r="P37" s="46"/>
      <c r="Q37" s="47"/>
      <c r="R37" s="48"/>
      <c r="S37" s="48"/>
      <c r="T37" s="48"/>
      <c r="U37" s="49"/>
      <c r="V37" s="50"/>
      <c r="W37" s="51"/>
      <c r="X37" s="47"/>
      <c r="Y37" s="47"/>
      <c r="Z37" s="48"/>
      <c r="AA37" s="46"/>
      <c r="AB37" s="47"/>
      <c r="AC37" s="48"/>
      <c r="AD37" s="48"/>
      <c r="AE37" s="52"/>
      <c r="AF37" s="53"/>
      <c r="AG37" s="54"/>
      <c r="AH37" s="117"/>
      <c r="AJ37" s="41"/>
      <c r="AK37" s="41"/>
      <c r="AL37" s="43"/>
      <c r="AM37" s="44"/>
      <c r="AN37" s="44"/>
      <c r="AO37" s="44"/>
      <c r="AP37" s="44"/>
      <c r="AQ37" s="44"/>
      <c r="AR37" s="45"/>
      <c r="AS37" s="44"/>
    </row>
    <row r="38" spans="1:47" ht="18.75" customHeight="1" x14ac:dyDescent="0.2">
      <c r="A38" s="32">
        <v>61</v>
      </c>
      <c r="B38" s="33" t="s">
        <v>2</v>
      </c>
      <c r="C38" s="46">
        <v>19.46</v>
      </c>
      <c r="D38" s="33" t="s">
        <v>1</v>
      </c>
      <c r="E38" s="33">
        <v>57</v>
      </c>
      <c r="F38" s="33" t="s">
        <v>2</v>
      </c>
      <c r="G38" s="54">
        <v>17.059999999999999</v>
      </c>
      <c r="H38" s="54">
        <v>8</v>
      </c>
      <c r="I38" s="55">
        <v>99.55</v>
      </c>
      <c r="J38" s="55">
        <v>98.74</v>
      </c>
      <c r="K38" s="56">
        <v>0.9</v>
      </c>
      <c r="L38" s="57">
        <f>(3*AG38)/10000</f>
        <v>2.4720000000000027E-2</v>
      </c>
      <c r="M38" s="56">
        <v>0.2</v>
      </c>
      <c r="N38" s="57">
        <f>(O38*AG38)/10000</f>
        <v>0.82400000000000095</v>
      </c>
      <c r="O38" s="56">
        <v>100</v>
      </c>
      <c r="P38" s="56">
        <f t="shared" ref="P38" si="29">(K38*L38+M38*N38)/(L38+N38)</f>
        <v>0.2203883495145631</v>
      </c>
      <c r="Q38" s="57">
        <f t="shared" ref="Q38" si="30">L38+N38</f>
        <v>0.84872000000000103</v>
      </c>
      <c r="R38" s="125">
        <v>5</v>
      </c>
      <c r="S38" s="125">
        <f>($P$3*$U$67^$Q$3)/(R38+$R$3)^$S$3</f>
        <v>131.2230745739565</v>
      </c>
      <c r="T38" s="125">
        <f t="shared" ref="T38" si="31">P38*Q38*S38*2.77777777777778</f>
        <v>68.180593480304054</v>
      </c>
      <c r="U38" s="125">
        <f t="shared" ref="U38" si="32">T38</f>
        <v>68.180593480304054</v>
      </c>
      <c r="V38" s="126">
        <f>(I38-J38)/AG38</f>
        <v>9.8300970873786576E-3</v>
      </c>
      <c r="W38" s="57">
        <f>((AB38^2)*(AP38+AQ38))/2</f>
        <v>4.9740674422347746E-2</v>
      </c>
      <c r="X38" s="57">
        <f>(SQRT((AB38^2)+((AB38*(AP38))^2)))+(SQRT((AB38^2)+((AB38*(AQ38))^2)))</f>
        <v>0.77744948134294867</v>
      </c>
      <c r="Y38" s="127">
        <f t="shared" ref="Y38" si="33">W38/X38</f>
        <v>6.3979301055583485E-2</v>
      </c>
      <c r="Z38" s="125">
        <f>W38*(1/AL38)*Y38^(2/3)*V38^(1/2)*1000</f>
        <v>52.592721117635634</v>
      </c>
      <c r="AA38" s="56">
        <f>(1/AL38)*Y38^(2/3)*V38^(1/2)</f>
        <v>1.0573383197636441</v>
      </c>
      <c r="AB38" s="57">
        <f>((U38/1000)/(0.375*SQRT(V38)*((AP38+AQ38)/AL38)))^(3/8)</f>
        <v>0.14539527719117218</v>
      </c>
      <c r="AC38" s="125">
        <f>AG38/AA38/60</f>
        <v>1.298858943881205</v>
      </c>
      <c r="AD38" s="128">
        <f>((3.6*10^6)*W38*(Y38^(2/3))*(V38^(1/2)))/(AL38*P38*S38*O38)</f>
        <v>65.468034213950247</v>
      </c>
      <c r="AE38" s="58" t="s">
        <v>255</v>
      </c>
      <c r="AF38" s="59" t="str">
        <f>INDEX(TIPOS!K:K,MATCH($AE38,TIPOS!$A:$A,0))</f>
        <v>- 0,80 x 0,17</v>
      </c>
      <c r="AG38" s="56">
        <f>IF(A38&lt;E38,(((E38*20)+G38)-((A38*20)+C38)),(((A38*20)+C38)-((E38*20)+G38)))</f>
        <v>82.400000000000091</v>
      </c>
      <c r="AH38" s="117"/>
      <c r="AI38" s="19" t="str">
        <f>IF(AB38&lt;=AO38,"OK","REVER")</f>
        <v>OK</v>
      </c>
      <c r="AJ38" s="41" t="str">
        <f>INDEX(TIPOS!D:D,MATCH($AE38,TIPOS!$A:$A,0))</f>
        <v>Triangular</v>
      </c>
      <c r="AK38" s="42" t="str">
        <f>INDEX(TIPOS!B:B,MATCH($AE38,TIPOS!$A:$A,0))</f>
        <v>Concreto</v>
      </c>
      <c r="AL38" s="43">
        <f>INDEX(TIPOS!C:C,MATCH($AE38,TIPOS!$A:$A,0))</f>
        <v>1.4999999999999999E-2</v>
      </c>
      <c r="AM38" s="44">
        <f>INDEX(TIPOS!E:E,MATCH($AE38,TIPOS!$A:$A,0))</f>
        <v>0.68</v>
      </c>
      <c r="AN38" s="44">
        <f>INDEX(TIPOS!F:F,MATCH($AE38,TIPOS!$A:$A,0))</f>
        <v>0.12</v>
      </c>
      <c r="AO38" s="44">
        <f>INDEX(TIPOS!G:G,MATCH($AE38,TIPOS!$A:$A,0))</f>
        <v>0.17</v>
      </c>
      <c r="AP38" s="44">
        <f>INDEX(TIPOS!H:H,MATCH($AE38,TIPOS!$A:$A,0))</f>
        <v>4</v>
      </c>
      <c r="AQ38" s="44">
        <f>INDEX(TIPOS!I:I,MATCH($AE38,TIPOS!$A:$A,0))</f>
        <v>0.70588235294117641</v>
      </c>
      <c r="AR38" s="45"/>
      <c r="AS38" s="44"/>
    </row>
    <row r="39" spans="1:47" ht="18.75" customHeight="1" x14ac:dyDescent="0.2">
      <c r="A39" s="32"/>
      <c r="B39" s="33"/>
      <c r="C39" s="46"/>
      <c r="D39" s="33"/>
      <c r="E39" s="33"/>
      <c r="F39" s="33"/>
      <c r="G39" s="46"/>
      <c r="H39" s="46"/>
      <c r="I39" s="46"/>
      <c r="J39" s="46"/>
      <c r="K39" s="46"/>
      <c r="L39" s="47"/>
      <c r="M39" s="46"/>
      <c r="N39" s="47"/>
      <c r="O39" s="47"/>
      <c r="P39" s="46"/>
      <c r="Q39" s="47"/>
      <c r="R39" s="48"/>
      <c r="S39" s="48"/>
      <c r="T39" s="48"/>
      <c r="U39" s="49"/>
      <c r="V39" s="50"/>
      <c r="W39" s="51"/>
      <c r="X39" s="47"/>
      <c r="Y39" s="47"/>
      <c r="Z39" s="48"/>
      <c r="AA39" s="46"/>
      <c r="AB39" s="47"/>
      <c r="AC39" s="48"/>
      <c r="AD39" s="48"/>
      <c r="AE39" s="52"/>
      <c r="AF39" s="53"/>
      <c r="AG39" s="54"/>
      <c r="AH39" s="117"/>
      <c r="AJ39" s="41"/>
      <c r="AK39" s="41"/>
      <c r="AL39" s="43"/>
      <c r="AM39" s="44"/>
      <c r="AN39" s="44"/>
      <c r="AO39" s="44"/>
      <c r="AP39" s="44"/>
      <c r="AQ39" s="44"/>
      <c r="AR39" s="45"/>
      <c r="AS39" s="44"/>
    </row>
    <row r="40" spans="1:47" ht="18.75" customHeight="1" x14ac:dyDescent="0.2">
      <c r="A40" s="120" t="s">
        <v>249</v>
      </c>
      <c r="B40" s="60"/>
      <c r="C40" s="61"/>
      <c r="D40" s="60"/>
      <c r="E40" s="60">
        <v>57</v>
      </c>
      <c r="F40" s="60" t="s">
        <v>2</v>
      </c>
      <c r="G40" s="62">
        <v>17.059999999999999</v>
      </c>
      <c r="H40" s="62" t="s">
        <v>236</v>
      </c>
      <c r="I40" s="63"/>
      <c r="J40" s="64"/>
      <c r="K40" s="61"/>
      <c r="L40" s="64"/>
      <c r="M40" s="61"/>
      <c r="N40" s="64"/>
      <c r="O40" s="61"/>
      <c r="P40" s="61"/>
      <c r="Q40" s="64"/>
      <c r="R40" s="65"/>
      <c r="S40" s="65"/>
      <c r="T40" s="66"/>
      <c r="U40" s="67">
        <f>U36+U38</f>
        <v>227.00662404516262</v>
      </c>
      <c r="V40" s="68">
        <v>5.0000000000000001E-3</v>
      </c>
      <c r="W40" s="129">
        <f>((AF40^2)/8)*(AT40-SIN(AT40))</f>
        <v>0.15385573240091704</v>
      </c>
      <c r="X40" s="129">
        <f>(AF40/2)*AT40</f>
        <v>1.0048027024688131</v>
      </c>
      <c r="Y40" s="130">
        <f>W40/X40</f>
        <v>0.15312034096135643</v>
      </c>
      <c r="Z40" s="67">
        <f>((1/AL40)*W40*Y40^(2/3)*V40^(1/2))*1000</f>
        <v>239.52118051150228</v>
      </c>
      <c r="AA40" s="69">
        <f>(1/AL40)*Y40^(2/3)*V40^(1/2)</f>
        <v>1.5567907465895281</v>
      </c>
      <c r="AB40" s="129">
        <f>AU40</f>
        <v>0.2761521596119158</v>
      </c>
      <c r="AC40" s="67">
        <f>AG40/AA40/60</f>
        <v>6.4234708626750681E-2</v>
      </c>
      <c r="AD40" s="131"/>
      <c r="AE40" s="70" t="s">
        <v>238</v>
      </c>
      <c r="AF40" s="62">
        <v>0.8</v>
      </c>
      <c r="AG40" s="69">
        <v>6</v>
      </c>
      <c r="AH40" s="117"/>
      <c r="AI40" s="19" t="str">
        <f>IF(AB40&lt;=AO40,"OK","REVER")</f>
        <v>OK</v>
      </c>
      <c r="AJ40" s="41" t="s">
        <v>108</v>
      </c>
      <c r="AK40" s="42" t="s">
        <v>98</v>
      </c>
      <c r="AL40" s="43">
        <v>1.2999999999999999E-2</v>
      </c>
      <c r="AM40" s="44"/>
      <c r="AN40" s="44"/>
      <c r="AO40" s="44">
        <v>0.68</v>
      </c>
      <c r="AP40" s="44"/>
      <c r="AQ40" s="44"/>
      <c r="AR40" s="45"/>
      <c r="AS40" s="44">
        <f>(U40/1000)*AL40*AF40^(-8/3)*V40^(-1/2)</f>
        <v>7.5669973446611596E-2</v>
      </c>
      <c r="AT40" s="19">
        <f>IFERROR(((3*PI())/2)*SQRT(1-SQRT(1-SQRT(PI()*AS40))),"θ ≥ 270°")</f>
        <v>2.5120067561720325</v>
      </c>
      <c r="AU40" s="19">
        <f>IFERROR((AF40/2)*(1-COS(AT40/2)),"Yn &gt; 85%")</f>
        <v>0.2761521596119158</v>
      </c>
    </row>
    <row r="41" spans="1:47" ht="18.75" customHeight="1" x14ac:dyDescent="0.2">
      <c r="A41" s="32"/>
      <c r="B41" s="33"/>
      <c r="C41" s="46"/>
      <c r="D41" s="33"/>
      <c r="E41" s="33"/>
      <c r="F41" s="33"/>
      <c r="G41" s="46"/>
      <c r="H41" s="46"/>
      <c r="I41" s="46"/>
      <c r="J41" s="46"/>
      <c r="K41" s="46"/>
      <c r="L41" s="47"/>
      <c r="M41" s="46"/>
      <c r="N41" s="47"/>
      <c r="O41" s="47"/>
      <c r="P41" s="46"/>
      <c r="Q41" s="47"/>
      <c r="R41" s="48"/>
      <c r="S41" s="48"/>
      <c r="T41" s="48"/>
      <c r="U41" s="49"/>
      <c r="V41" s="50"/>
      <c r="W41" s="51"/>
      <c r="X41" s="47"/>
      <c r="Y41" s="47"/>
      <c r="Z41" s="48"/>
      <c r="AA41" s="46"/>
      <c r="AB41" s="47"/>
      <c r="AC41" s="48"/>
      <c r="AD41" s="48"/>
      <c r="AE41" s="52"/>
      <c r="AF41" s="53"/>
      <c r="AG41" s="54"/>
      <c r="AH41" s="117"/>
      <c r="AJ41" s="41"/>
      <c r="AK41" s="41"/>
      <c r="AL41" s="43"/>
      <c r="AM41" s="44"/>
      <c r="AN41" s="44"/>
      <c r="AO41" s="44"/>
      <c r="AP41" s="44"/>
      <c r="AQ41" s="44"/>
      <c r="AR41" s="45"/>
      <c r="AS41" s="44"/>
    </row>
    <row r="42" spans="1:47" ht="18.75" customHeight="1" x14ac:dyDescent="0.2">
      <c r="A42" s="32">
        <v>61</v>
      </c>
      <c r="B42" s="33" t="s">
        <v>2</v>
      </c>
      <c r="C42" s="46">
        <v>19.46</v>
      </c>
      <c r="D42" s="33" t="s">
        <v>1</v>
      </c>
      <c r="E42" s="33">
        <v>62</v>
      </c>
      <c r="F42" s="33" t="s">
        <v>2</v>
      </c>
      <c r="G42" s="54">
        <v>17.73</v>
      </c>
      <c r="H42" s="54">
        <v>9</v>
      </c>
      <c r="I42" s="55">
        <v>98.74</v>
      </c>
      <c r="J42" s="55">
        <v>98.25</v>
      </c>
      <c r="K42" s="56">
        <v>0.9</v>
      </c>
      <c r="L42" s="57">
        <f>(3*AG42)/10000</f>
        <v>5.4809999999999946E-3</v>
      </c>
      <c r="M42" s="56">
        <v>0.2</v>
      </c>
      <c r="N42" s="57">
        <f>(O42*AG42)/10000</f>
        <v>0.18269999999999981</v>
      </c>
      <c r="O42" s="56">
        <v>100</v>
      </c>
      <c r="P42" s="56">
        <f t="shared" ref="P42" si="34">(K42*L42+M42*N42)/(L42+N42)</f>
        <v>0.22038834951456313</v>
      </c>
      <c r="Q42" s="57">
        <f t="shared" ref="Q42" si="35">L42+N42</f>
        <v>0.18818099999999979</v>
      </c>
      <c r="R42" s="125">
        <v>5</v>
      </c>
      <c r="S42" s="125">
        <f>($P$3*$U$67^$Q$3)/(R42+$R$3)^$S$3</f>
        <v>131.2230745739565</v>
      </c>
      <c r="T42" s="125">
        <f t="shared" ref="T42" si="36">P42*Q42*S42*2.77777777777778</f>
        <v>15.117226248606221</v>
      </c>
      <c r="U42" s="125">
        <f t="shared" ref="U42" si="37">T42</f>
        <v>15.117226248606221</v>
      </c>
      <c r="V42" s="126">
        <f>(I42-J42)/AG42</f>
        <v>2.6819923371647257E-2</v>
      </c>
      <c r="W42" s="57">
        <f>((AB42^2)*(AP42+AQ42))/2</f>
        <v>1.1030819397744602E-2</v>
      </c>
      <c r="X42" s="57">
        <f>(SQRT((AB42^2)+((AB42*(AP42))^2)))+(SQRT((AB42^2)+((AB42*(AQ42))^2)))</f>
        <v>0.36611728279406169</v>
      </c>
      <c r="Y42" s="127">
        <f t="shared" ref="Y42" si="38">W42/X42</f>
        <v>3.01291960695266E-2</v>
      </c>
      <c r="Z42" s="125">
        <f>W42*(1/AL42)*Y42^(2/3)*V42^(1/2)*1000</f>
        <v>11.661031733242726</v>
      </c>
      <c r="AA42" s="56">
        <f>(1/AL42)*Y42^(2/3)*V42^(1/2)</f>
        <v>1.0571319602628051</v>
      </c>
      <c r="AB42" s="57">
        <f>((U42/1000)/(0.375*SQRT(V42)*((AP42+AQ42)/AL42)))^(3/8)</f>
        <v>6.8469688505509177E-2</v>
      </c>
      <c r="AC42" s="125">
        <f>AG42/AA42/60</f>
        <v>0.28804350965257014</v>
      </c>
      <c r="AD42" s="128">
        <f>((3.6*10^6)*W42*(Y42^(2/3))*(V42^(1/2)))/(AL42*P42*S42*O42)</f>
        <v>14.515788653991116</v>
      </c>
      <c r="AE42" s="58" t="s">
        <v>255</v>
      </c>
      <c r="AF42" s="59" t="str">
        <f>INDEX(TIPOS!K:K,MATCH($AE42,TIPOS!$A:$A,0))</f>
        <v>- 0,80 x 0,17</v>
      </c>
      <c r="AG42" s="56">
        <f>IF(A42&lt;E42,(((E42*20)+G42)-((A42*20)+C42)),(((A42*20)+C42)-((E42*20)+G42)))</f>
        <v>18.269999999999982</v>
      </c>
      <c r="AH42" s="117"/>
      <c r="AI42" s="19" t="str">
        <f>IF(AB42&lt;=AO42,"OK","REVER")</f>
        <v>OK</v>
      </c>
      <c r="AJ42" s="41" t="str">
        <f>INDEX(TIPOS!D:D,MATCH($AE42,TIPOS!$A:$A,0))</f>
        <v>Triangular</v>
      </c>
      <c r="AK42" s="42" t="str">
        <f>INDEX(TIPOS!B:B,MATCH($AE42,TIPOS!$A:$A,0))</f>
        <v>Concreto</v>
      </c>
      <c r="AL42" s="43">
        <f>INDEX(TIPOS!C:C,MATCH($AE42,TIPOS!$A:$A,0))</f>
        <v>1.4999999999999999E-2</v>
      </c>
      <c r="AM42" s="44">
        <f>INDEX(TIPOS!E:E,MATCH($AE42,TIPOS!$A:$A,0))</f>
        <v>0.68</v>
      </c>
      <c r="AN42" s="44">
        <f>INDEX(TIPOS!F:F,MATCH($AE42,TIPOS!$A:$A,0))</f>
        <v>0.12</v>
      </c>
      <c r="AO42" s="44">
        <f>INDEX(TIPOS!G:G,MATCH($AE42,TIPOS!$A:$A,0))</f>
        <v>0.17</v>
      </c>
      <c r="AP42" s="44">
        <f>INDEX(TIPOS!H:H,MATCH($AE42,TIPOS!$A:$A,0))</f>
        <v>4</v>
      </c>
      <c r="AQ42" s="44">
        <f>INDEX(TIPOS!I:I,MATCH($AE42,TIPOS!$A:$A,0))</f>
        <v>0.70588235294117641</v>
      </c>
      <c r="AR42" s="45"/>
      <c r="AS42" s="44"/>
    </row>
    <row r="43" spans="1:47" ht="18.75" customHeight="1" x14ac:dyDescent="0.2">
      <c r="A43" s="32"/>
      <c r="B43" s="33"/>
      <c r="C43" s="46"/>
      <c r="D43" s="33"/>
      <c r="E43" s="33"/>
      <c r="F43" s="33"/>
      <c r="G43" s="46"/>
      <c r="H43" s="46"/>
      <c r="I43" s="46"/>
      <c r="J43" s="46"/>
      <c r="K43" s="46"/>
      <c r="L43" s="47"/>
      <c r="M43" s="46"/>
      <c r="N43" s="47"/>
      <c r="O43" s="47"/>
      <c r="P43" s="46"/>
      <c r="Q43" s="47"/>
      <c r="R43" s="48"/>
      <c r="S43" s="48"/>
      <c r="T43" s="48"/>
      <c r="U43" s="49"/>
      <c r="V43" s="50"/>
      <c r="W43" s="51"/>
      <c r="X43" s="47"/>
      <c r="Y43" s="47"/>
      <c r="Z43" s="48"/>
      <c r="AA43" s="46"/>
      <c r="AB43" s="47"/>
      <c r="AC43" s="48"/>
      <c r="AD43" s="48"/>
      <c r="AE43" s="52"/>
      <c r="AF43" s="53"/>
      <c r="AG43" s="54"/>
      <c r="AH43" s="117"/>
      <c r="AJ43" s="41"/>
      <c r="AK43" s="41"/>
      <c r="AL43" s="43"/>
      <c r="AM43" s="44"/>
      <c r="AN43" s="44"/>
      <c r="AO43" s="44"/>
      <c r="AP43" s="44"/>
      <c r="AQ43" s="44"/>
      <c r="AR43" s="45"/>
      <c r="AS43" s="44"/>
    </row>
    <row r="44" spans="1:47" ht="18.75" customHeight="1" x14ac:dyDescent="0.2">
      <c r="A44" s="32">
        <v>69</v>
      </c>
      <c r="B44" s="33" t="s">
        <v>2</v>
      </c>
      <c r="C44" s="46">
        <v>2.54</v>
      </c>
      <c r="D44" s="33" t="s">
        <v>1</v>
      </c>
      <c r="E44" s="33">
        <v>62</v>
      </c>
      <c r="F44" s="33" t="s">
        <v>2</v>
      </c>
      <c r="G44" s="54">
        <v>17.73</v>
      </c>
      <c r="H44" s="54">
        <v>10</v>
      </c>
      <c r="I44" s="55">
        <v>100.1</v>
      </c>
      <c r="J44" s="55">
        <v>98.25</v>
      </c>
      <c r="K44" s="56">
        <v>0.9</v>
      </c>
      <c r="L44" s="57">
        <f>(3*AG44)/10000</f>
        <v>3.7442999999999983E-2</v>
      </c>
      <c r="M44" s="56">
        <v>0.2</v>
      </c>
      <c r="N44" s="57">
        <f>(O44*AG44)/10000</f>
        <v>1.2480999999999995</v>
      </c>
      <c r="O44" s="56">
        <v>100</v>
      </c>
      <c r="P44" s="56">
        <f t="shared" ref="P44" si="39">(K44*L44+M44*N44)/(L44+N44)</f>
        <v>0.22038834951456315</v>
      </c>
      <c r="Q44" s="57">
        <f t="shared" ref="Q44" si="40">L44+N44</f>
        <v>1.2855429999999994</v>
      </c>
      <c r="R44" s="125">
        <v>5</v>
      </c>
      <c r="S44" s="125">
        <f>($P$3*$U$67^$Q$3)/(R44+$R$3)^$S$3</f>
        <v>131.2230745739565</v>
      </c>
      <c r="T44" s="125">
        <f t="shared" ref="T44" si="41">P44*Q44*S44*2.77777777777778</f>
        <v>103.27208582860118</v>
      </c>
      <c r="U44" s="125">
        <f t="shared" ref="U44" si="42">T44</f>
        <v>103.27208582860118</v>
      </c>
      <c r="V44" s="126">
        <f>(I44-J44)/AG44</f>
        <v>1.4822530245973841E-2</v>
      </c>
      <c r="W44" s="57">
        <f>((AB44^2)*(AP44+AQ44))/2</f>
        <v>5.8219248648615947E-2</v>
      </c>
      <c r="X44" s="57">
        <f>(SQRT((AB44^2)+((AB44*(AP44))^2)))+(SQRT((AB44^2)+((AB44*(AQ44))^2)))</f>
        <v>0.84110389011044395</v>
      </c>
      <c r="Y44" s="127">
        <f t="shared" ref="Y44" si="43">W44/X44</f>
        <v>6.9217666608308373E-2</v>
      </c>
      <c r="Z44" s="125">
        <f>W44*(1/AL44)*Y44^(2/3)*V44^(1/2)*1000</f>
        <v>79.661377702573873</v>
      </c>
      <c r="AA44" s="56">
        <f>(1/AL44)*Y44^(2/3)*V44^(1/2)</f>
        <v>1.3682996526350342</v>
      </c>
      <c r="AB44" s="57">
        <f>((U44/1000)/(0.375*SQRT(V44)*((AP44+AQ44)/AL44)))^(3/8)</f>
        <v>0.15729965249695174</v>
      </c>
      <c r="AC44" s="125">
        <f>AG44/AA44/60</f>
        <v>1.5202566650227072</v>
      </c>
      <c r="AD44" s="128">
        <f>((3.6*10^6)*W44*(Y44^(2/3))*(V44^(1/2)))/(AL44*P44*S44*O44)</f>
        <v>99.163414444697935</v>
      </c>
      <c r="AE44" s="58" t="s">
        <v>255</v>
      </c>
      <c r="AF44" s="59" t="str">
        <f>INDEX(TIPOS!K:K,MATCH($AE44,TIPOS!$A:$A,0))</f>
        <v>- 0,80 x 0,17</v>
      </c>
      <c r="AG44" s="56">
        <f>IF(A44&lt;E44,(((E44*20)+G44)-((A44*20)+C44)),(((A44*20)+C44)-((E44*20)+G44)))</f>
        <v>124.80999999999995</v>
      </c>
      <c r="AH44" s="117"/>
      <c r="AI44" s="19" t="str">
        <f>IF(AB44&lt;=AO44,"OK","REVER")</f>
        <v>OK</v>
      </c>
      <c r="AJ44" s="41" t="str">
        <f>INDEX(TIPOS!D:D,MATCH($AE44,TIPOS!$A:$A,0))</f>
        <v>Triangular</v>
      </c>
      <c r="AK44" s="42" t="str">
        <f>INDEX(TIPOS!B:B,MATCH($AE44,TIPOS!$A:$A,0))</f>
        <v>Concreto</v>
      </c>
      <c r="AL44" s="43">
        <f>INDEX(TIPOS!C:C,MATCH($AE44,TIPOS!$A:$A,0))</f>
        <v>1.4999999999999999E-2</v>
      </c>
      <c r="AM44" s="44">
        <f>INDEX(TIPOS!E:E,MATCH($AE44,TIPOS!$A:$A,0))</f>
        <v>0.68</v>
      </c>
      <c r="AN44" s="44">
        <f>INDEX(TIPOS!F:F,MATCH($AE44,TIPOS!$A:$A,0))</f>
        <v>0.12</v>
      </c>
      <c r="AO44" s="44">
        <f>INDEX(TIPOS!G:G,MATCH($AE44,TIPOS!$A:$A,0))</f>
        <v>0.17</v>
      </c>
      <c r="AP44" s="44">
        <f>INDEX(TIPOS!H:H,MATCH($AE44,TIPOS!$A:$A,0))</f>
        <v>4</v>
      </c>
      <c r="AQ44" s="44">
        <f>INDEX(TIPOS!I:I,MATCH($AE44,TIPOS!$A:$A,0))</f>
        <v>0.70588235294117641</v>
      </c>
      <c r="AR44" s="45"/>
      <c r="AS44" s="44"/>
    </row>
    <row r="45" spans="1:47" ht="18.75" customHeight="1" x14ac:dyDescent="0.2">
      <c r="A45" s="32"/>
      <c r="B45" s="33"/>
      <c r="C45" s="46"/>
      <c r="D45" s="33"/>
      <c r="E45" s="33"/>
      <c r="F45" s="33"/>
      <c r="G45" s="46"/>
      <c r="H45" s="46"/>
      <c r="I45" s="46"/>
      <c r="J45" s="46"/>
      <c r="K45" s="46"/>
      <c r="L45" s="47"/>
      <c r="M45" s="46"/>
      <c r="N45" s="47"/>
      <c r="O45" s="47"/>
      <c r="P45" s="46"/>
      <c r="Q45" s="47"/>
      <c r="R45" s="48"/>
      <c r="S45" s="48"/>
      <c r="T45" s="48"/>
      <c r="U45" s="49"/>
      <c r="V45" s="50"/>
      <c r="W45" s="51"/>
      <c r="X45" s="47"/>
      <c r="Y45" s="47"/>
      <c r="Z45" s="48"/>
      <c r="AA45" s="46"/>
      <c r="AB45" s="47"/>
      <c r="AC45" s="48"/>
      <c r="AD45" s="48"/>
      <c r="AE45" s="52"/>
      <c r="AF45" s="53"/>
      <c r="AG45" s="54"/>
      <c r="AH45" s="117"/>
      <c r="AJ45" s="41"/>
      <c r="AK45" s="41"/>
      <c r="AL45" s="43"/>
      <c r="AM45" s="44"/>
      <c r="AN45" s="44"/>
      <c r="AO45" s="44"/>
      <c r="AP45" s="44"/>
      <c r="AQ45" s="44"/>
      <c r="AR45" s="45"/>
      <c r="AS45" s="44"/>
    </row>
    <row r="46" spans="1:47" ht="18.75" customHeight="1" x14ac:dyDescent="0.2">
      <c r="A46" s="120" t="s">
        <v>249</v>
      </c>
      <c r="B46" s="60"/>
      <c r="C46" s="61"/>
      <c r="D46" s="60"/>
      <c r="E46" s="60">
        <v>62</v>
      </c>
      <c r="F46" s="60" t="s">
        <v>2</v>
      </c>
      <c r="G46" s="62">
        <v>17.73</v>
      </c>
      <c r="H46" s="62" t="s">
        <v>236</v>
      </c>
      <c r="I46" s="63"/>
      <c r="J46" s="64"/>
      <c r="K46" s="61"/>
      <c r="L46" s="64"/>
      <c r="M46" s="61"/>
      <c r="N46" s="64"/>
      <c r="O46" s="61"/>
      <c r="P46" s="61"/>
      <c r="Q46" s="64"/>
      <c r="R46" s="65"/>
      <c r="S46" s="65"/>
      <c r="T46" s="66"/>
      <c r="U46" s="67">
        <f>U42+U44</f>
        <v>118.38931207720739</v>
      </c>
      <c r="V46" s="68">
        <v>5.0000000000000001E-3</v>
      </c>
      <c r="W46" s="129">
        <f>((AF46^2)/8)*(AT46-SIN(AT46))</f>
        <v>9.671239815018487E-2</v>
      </c>
      <c r="X46" s="129">
        <f>(AF46/2)*AT46</f>
        <v>0.83254780834588782</v>
      </c>
      <c r="Y46" s="130">
        <f>W46/X46</f>
        <v>0.11616437780592298</v>
      </c>
      <c r="Z46" s="67">
        <f>((1/AL46)*W46*Y46^(2/3)*V46^(1/2))*1000</f>
        <v>125.23886298654102</v>
      </c>
      <c r="AA46" s="69">
        <f>(1/AL46)*Y46^(2/3)*V46^(1/2)</f>
        <v>1.2949618185670191</v>
      </c>
      <c r="AB46" s="129">
        <f>AU46</f>
        <v>0.19774816067804979</v>
      </c>
      <c r="AC46" s="67">
        <f>AG46/AA46/60</f>
        <v>7.7222354023270101E-2</v>
      </c>
      <c r="AD46" s="131"/>
      <c r="AE46" s="70" t="s">
        <v>238</v>
      </c>
      <c r="AF46" s="62">
        <v>0.8</v>
      </c>
      <c r="AG46" s="69">
        <v>6</v>
      </c>
      <c r="AH46" s="117"/>
      <c r="AI46" s="19" t="str">
        <f>IF(AB46&lt;=AO46,"OK","REVER")</f>
        <v>OK</v>
      </c>
      <c r="AJ46" s="41" t="s">
        <v>108</v>
      </c>
      <c r="AK46" s="42" t="s">
        <v>98</v>
      </c>
      <c r="AL46" s="43">
        <v>1.2999999999999999E-2</v>
      </c>
      <c r="AM46" s="44"/>
      <c r="AN46" s="44"/>
      <c r="AO46" s="44">
        <v>0.68</v>
      </c>
      <c r="AP46" s="44"/>
      <c r="AQ46" s="44"/>
      <c r="AR46" s="45"/>
      <c r="AS46" s="44">
        <f>(U46/1000)*AL46*AF46^(-8/3)*V46^(-1/2)</f>
        <v>3.9463677057558523E-2</v>
      </c>
      <c r="AT46" s="19">
        <f>IFERROR(((3*PI())/2)*SQRT(1-SQRT(1-SQRT(PI()*AS46))),"θ ≥ 270°")</f>
        <v>2.0813695208647194</v>
      </c>
      <c r="AU46" s="19">
        <f>IFERROR((AF46/2)*(1-COS(AT46/2)),"Yn &gt; 85%")</f>
        <v>0.19774816067804979</v>
      </c>
    </row>
    <row r="47" spans="1:47" ht="18.75" customHeight="1" x14ac:dyDescent="0.2">
      <c r="A47" s="32"/>
      <c r="B47" s="33"/>
      <c r="C47" s="46"/>
      <c r="D47" s="33"/>
      <c r="E47" s="33"/>
      <c r="F47" s="33"/>
      <c r="G47" s="46"/>
      <c r="H47" s="46"/>
      <c r="I47" s="46"/>
      <c r="J47" s="46"/>
      <c r="K47" s="46"/>
      <c r="L47" s="47"/>
      <c r="M47" s="46"/>
      <c r="N47" s="47"/>
      <c r="O47" s="47"/>
      <c r="P47" s="46"/>
      <c r="Q47" s="47"/>
      <c r="R47" s="48"/>
      <c r="S47" s="48"/>
      <c r="T47" s="48"/>
      <c r="U47" s="49"/>
      <c r="V47" s="50"/>
      <c r="W47" s="51"/>
      <c r="X47" s="47"/>
      <c r="Y47" s="47"/>
      <c r="Z47" s="48"/>
      <c r="AA47" s="46"/>
      <c r="AB47" s="47"/>
      <c r="AC47" s="48"/>
      <c r="AD47" s="48"/>
      <c r="AE47" s="52"/>
      <c r="AF47" s="53"/>
      <c r="AG47" s="54"/>
      <c r="AH47" s="117"/>
      <c r="AJ47" s="41"/>
      <c r="AK47" s="41"/>
      <c r="AL47" s="43"/>
      <c r="AM47" s="44"/>
      <c r="AN47" s="44"/>
      <c r="AO47" s="44"/>
      <c r="AP47" s="44"/>
      <c r="AQ47" s="44"/>
      <c r="AR47" s="45"/>
      <c r="AS47" s="44"/>
    </row>
    <row r="48" spans="1:47" ht="18.75" customHeight="1" x14ac:dyDescent="0.2">
      <c r="A48" s="32">
        <v>69</v>
      </c>
      <c r="B48" s="33" t="s">
        <v>2</v>
      </c>
      <c r="C48" s="46">
        <v>2.54</v>
      </c>
      <c r="D48" s="33" t="s">
        <v>1</v>
      </c>
      <c r="E48" s="33">
        <v>73</v>
      </c>
      <c r="F48" s="33" t="s">
        <v>2</v>
      </c>
      <c r="G48" s="54">
        <v>11.91</v>
      </c>
      <c r="H48" s="54">
        <v>11</v>
      </c>
      <c r="I48" s="55">
        <v>100.1</v>
      </c>
      <c r="J48" s="55">
        <v>98</v>
      </c>
      <c r="K48" s="56">
        <v>0.9</v>
      </c>
      <c r="L48" s="57">
        <f>(3*AG48)/10000</f>
        <v>2.6811000000000036E-2</v>
      </c>
      <c r="M48" s="56">
        <v>0.2</v>
      </c>
      <c r="N48" s="57">
        <f>(O48*AG48)/10000</f>
        <v>0.89370000000000105</v>
      </c>
      <c r="O48" s="56">
        <v>100</v>
      </c>
      <c r="P48" s="56">
        <f t="shared" ref="P48" si="44">(K48*L48+M48*N48)/(L48+N48)</f>
        <v>0.22038834951456315</v>
      </c>
      <c r="Q48" s="57">
        <f t="shared" ref="Q48" si="45">L48+N48</f>
        <v>0.92051100000000108</v>
      </c>
      <c r="R48" s="125">
        <v>5</v>
      </c>
      <c r="S48" s="125">
        <f>($P$3*$U$67^$Q$3)/(R48+$R$3)^$S$3</f>
        <v>131.2230745739565</v>
      </c>
      <c r="T48" s="125">
        <f t="shared" ref="T48" si="46">P48*Q48*S48*2.77777777777778</f>
        <v>73.947811156975433</v>
      </c>
      <c r="U48" s="125">
        <f t="shared" ref="U48" si="47">T48</f>
        <v>73.947811156975433</v>
      </c>
      <c r="V48" s="126">
        <f>(I48-J48)/AG48</f>
        <v>2.3497818059751499E-2</v>
      </c>
      <c r="W48" s="57">
        <f>((AB48^2)*(AP48+AQ48))/2</f>
        <v>3.8127113787895815E-2</v>
      </c>
      <c r="X48" s="57">
        <f>(SQRT((AB48^2)+((AB48*(AP48))^2)))+(SQRT((AB48^2)+((AB48*(AQ48))^2)))</f>
        <v>0.68066482615093837</v>
      </c>
      <c r="Y48" s="127">
        <f t="shared" ref="Y48" si="48">W48/X48</f>
        <v>5.6014520396917164E-2</v>
      </c>
      <c r="Z48" s="125">
        <f>W48*(1/AL48)*Y48^(2/3)*V48^(1/2)*1000</f>
        <v>57.041401532561814</v>
      </c>
      <c r="AA48" s="56">
        <f>(1/AL48)*Y48^(2/3)*V48^(1/2)</f>
        <v>1.4960849606893325</v>
      </c>
      <c r="AB48" s="57">
        <f>((U48/1000)/(0.375*SQRT(V48)*((AP48+AQ48)/AL48)))^(3/8)</f>
        <v>0.1272950248825763</v>
      </c>
      <c r="AC48" s="125">
        <f>AG48/AA48/60</f>
        <v>0.99559853827666545</v>
      </c>
      <c r="AD48" s="128">
        <f>((3.6*10^6)*W48*(Y48^(2/3))*(V48^(1/2)))/(AL48*P48*S48*O48)</f>
        <v>71.005803612872924</v>
      </c>
      <c r="AE48" s="58" t="s">
        <v>255</v>
      </c>
      <c r="AF48" s="59" t="str">
        <f>INDEX(TIPOS!K:K,MATCH($AE48,TIPOS!$A:$A,0))</f>
        <v>- 0,80 x 0,17</v>
      </c>
      <c r="AG48" s="56">
        <f>IF(A48&lt;E48,(((E48*20)+G48)-((A48*20)+C48)),(((A48*20)+C48)-((E48*20)+G48)))</f>
        <v>89.370000000000118</v>
      </c>
      <c r="AH48" s="117"/>
      <c r="AI48" s="19" t="str">
        <f>IF(AB48&lt;=AO48,"OK","REVER")</f>
        <v>OK</v>
      </c>
      <c r="AJ48" s="41" t="str">
        <f>INDEX(TIPOS!D:D,MATCH($AE48,TIPOS!$A:$A,0))</f>
        <v>Triangular</v>
      </c>
      <c r="AK48" s="42" t="str">
        <f>INDEX(TIPOS!B:B,MATCH($AE48,TIPOS!$A:$A,0))</f>
        <v>Concreto</v>
      </c>
      <c r="AL48" s="43">
        <f>INDEX(TIPOS!C:C,MATCH($AE48,TIPOS!$A:$A,0))</f>
        <v>1.4999999999999999E-2</v>
      </c>
      <c r="AM48" s="44">
        <f>INDEX(TIPOS!E:E,MATCH($AE48,TIPOS!$A:$A,0))</f>
        <v>0.68</v>
      </c>
      <c r="AN48" s="44">
        <f>INDEX(TIPOS!F:F,MATCH($AE48,TIPOS!$A:$A,0))</f>
        <v>0.12</v>
      </c>
      <c r="AO48" s="44">
        <f>INDEX(TIPOS!G:G,MATCH($AE48,TIPOS!$A:$A,0))</f>
        <v>0.17</v>
      </c>
      <c r="AP48" s="44">
        <f>INDEX(TIPOS!H:H,MATCH($AE48,TIPOS!$A:$A,0))</f>
        <v>4</v>
      </c>
      <c r="AQ48" s="44">
        <f>INDEX(TIPOS!I:I,MATCH($AE48,TIPOS!$A:$A,0))</f>
        <v>0.70588235294117641</v>
      </c>
      <c r="AR48" s="45"/>
      <c r="AS48" s="44"/>
    </row>
    <row r="49" spans="1:47" ht="18.75" customHeight="1" x14ac:dyDescent="0.2">
      <c r="A49" s="32"/>
      <c r="B49" s="33"/>
      <c r="C49" s="46"/>
      <c r="D49" s="33"/>
      <c r="E49" s="33"/>
      <c r="F49" s="33"/>
      <c r="G49" s="46"/>
      <c r="H49" s="46"/>
      <c r="I49" s="46"/>
      <c r="J49" s="46"/>
      <c r="K49" s="46"/>
      <c r="L49" s="47"/>
      <c r="M49" s="46"/>
      <c r="N49" s="47"/>
      <c r="O49" s="47"/>
      <c r="P49" s="46"/>
      <c r="Q49" s="47"/>
      <c r="R49" s="48"/>
      <c r="S49" s="48"/>
      <c r="T49" s="48"/>
      <c r="U49" s="49"/>
      <c r="V49" s="50"/>
      <c r="W49" s="51"/>
      <c r="X49" s="47"/>
      <c r="Y49" s="47"/>
      <c r="Z49" s="48"/>
      <c r="AA49" s="46"/>
      <c r="AB49" s="47"/>
      <c r="AC49" s="48"/>
      <c r="AD49" s="48"/>
      <c r="AE49" s="52"/>
      <c r="AF49" s="53"/>
      <c r="AG49" s="54"/>
      <c r="AH49" s="117"/>
      <c r="AJ49" s="41"/>
      <c r="AK49" s="41"/>
      <c r="AL49" s="43"/>
      <c r="AM49" s="44"/>
      <c r="AN49" s="44"/>
      <c r="AO49" s="44"/>
      <c r="AP49" s="44"/>
      <c r="AQ49" s="44"/>
      <c r="AR49" s="45"/>
      <c r="AS49" s="44"/>
    </row>
    <row r="50" spans="1:47" ht="18.75" customHeight="1" x14ac:dyDescent="0.2">
      <c r="A50" s="32">
        <v>83</v>
      </c>
      <c r="B50" s="33" t="s">
        <v>2</v>
      </c>
      <c r="C50" s="46">
        <v>5.35</v>
      </c>
      <c r="D50" s="33" t="s">
        <v>1</v>
      </c>
      <c r="E50" s="33">
        <v>73</v>
      </c>
      <c r="F50" s="33" t="s">
        <v>2</v>
      </c>
      <c r="G50" s="54">
        <v>11.91</v>
      </c>
      <c r="H50" s="54">
        <v>12</v>
      </c>
      <c r="I50" s="55">
        <v>103.19</v>
      </c>
      <c r="J50" s="55">
        <v>98</v>
      </c>
      <c r="K50" s="56">
        <v>0.9</v>
      </c>
      <c r="L50" s="57">
        <f>(3*AG50)/10000</f>
        <v>5.8031999999999945E-2</v>
      </c>
      <c r="M50" s="56">
        <v>0.2</v>
      </c>
      <c r="N50" s="57">
        <f>(O50*AG50)/10000</f>
        <v>1.9343999999999981</v>
      </c>
      <c r="O50" s="56">
        <v>100</v>
      </c>
      <c r="P50" s="56">
        <f t="shared" ref="P50" si="49">(K50*L50+M50*N50)/(L50+N50)</f>
        <v>0.22038834951456315</v>
      </c>
      <c r="Q50" s="57">
        <f t="shared" ref="Q50" si="50">L50+N50</f>
        <v>1.992431999999998</v>
      </c>
      <c r="R50" s="125">
        <v>5</v>
      </c>
      <c r="S50" s="125">
        <f>($P$3*$U$67^$Q$3)/(R50+$R$3)^$S$3</f>
        <v>131.2230745739565</v>
      </c>
      <c r="T50" s="125">
        <f t="shared" ref="T50" si="51">P50*Q50*S50*2.77777777777778</f>
        <v>160.05890780133484</v>
      </c>
      <c r="U50" s="125">
        <f t="shared" ref="U50" si="52">T50</f>
        <v>160.05890780133484</v>
      </c>
      <c r="V50" s="126">
        <f>(I50-J50)/AG50</f>
        <v>2.6830024813895795E-2</v>
      </c>
      <c r="W50" s="57">
        <f>((AB50^2)*(AP50+AQ50))/2</f>
        <v>6.4736952063907421E-2</v>
      </c>
      <c r="X50" s="57">
        <f>(SQRT((AB50^2)+((AB50*(AP50))^2)))+(SQRT((AB50^2)+((AB50*(AQ50))^2)))</f>
        <v>0.88693637699403427</v>
      </c>
      <c r="Y50" s="127">
        <f t="shared" ref="Y50" si="53">W50/X50</f>
        <v>7.2989397822773999E-2</v>
      </c>
      <c r="Z50" s="125">
        <f>W50*(1/AL50)*Y50^(2/3)*V50^(1/2)*1000</f>
        <v>123.46524239072103</v>
      </c>
      <c r="AA50" s="56">
        <f>(1/AL50)*Y50^(2/3)*V50^(1/2)</f>
        <v>1.9071834316332632</v>
      </c>
      <c r="AB50" s="57">
        <f>((U50/1000)/(0.375*SQRT(V50)*((AP50+AQ50)/AL50)))^(3/8)</f>
        <v>0.16587104818852702</v>
      </c>
      <c r="AC50" s="125">
        <f>AG50/AA50/60</f>
        <v>1.6904509270191415</v>
      </c>
      <c r="AD50" s="128">
        <f>((3.6*10^6)*W50*(Y50^(2/3))*(V50^(1/2)))/(AL50*P50*S50*O50)</f>
        <v>153.69097740711777</v>
      </c>
      <c r="AE50" s="58" t="s">
        <v>255</v>
      </c>
      <c r="AF50" s="59" t="str">
        <f>INDEX(TIPOS!K:K,MATCH($AE50,TIPOS!$A:$A,0))</f>
        <v>- 0,80 x 0,17</v>
      </c>
      <c r="AG50" s="56">
        <f>IF(A50&lt;E50,(((E50*20)+G50)-((A50*20)+C50)),(((A50*20)+C50)-((E50*20)+G50)))</f>
        <v>193.43999999999983</v>
      </c>
      <c r="AH50" s="117"/>
      <c r="AI50" s="19" t="str">
        <f>IF(AB50&lt;=AO50,"OK","REVER")</f>
        <v>OK</v>
      </c>
      <c r="AJ50" s="41" t="str">
        <f>INDEX(TIPOS!D:D,MATCH($AE50,TIPOS!$A:$A,0))</f>
        <v>Triangular</v>
      </c>
      <c r="AK50" s="42" t="str">
        <f>INDEX(TIPOS!B:B,MATCH($AE50,TIPOS!$A:$A,0))</f>
        <v>Concreto</v>
      </c>
      <c r="AL50" s="43">
        <f>INDEX(TIPOS!C:C,MATCH($AE50,TIPOS!$A:$A,0))</f>
        <v>1.4999999999999999E-2</v>
      </c>
      <c r="AM50" s="44">
        <f>INDEX(TIPOS!E:E,MATCH($AE50,TIPOS!$A:$A,0))</f>
        <v>0.68</v>
      </c>
      <c r="AN50" s="44">
        <f>INDEX(TIPOS!F:F,MATCH($AE50,TIPOS!$A:$A,0))</f>
        <v>0.12</v>
      </c>
      <c r="AO50" s="44">
        <f>INDEX(TIPOS!G:G,MATCH($AE50,TIPOS!$A:$A,0))</f>
        <v>0.17</v>
      </c>
      <c r="AP50" s="44">
        <f>INDEX(TIPOS!H:H,MATCH($AE50,TIPOS!$A:$A,0))</f>
        <v>4</v>
      </c>
      <c r="AQ50" s="44">
        <f>INDEX(TIPOS!I:I,MATCH($AE50,TIPOS!$A:$A,0))</f>
        <v>0.70588235294117641</v>
      </c>
      <c r="AR50" s="45"/>
      <c r="AS50" s="44"/>
    </row>
    <row r="51" spans="1:47" ht="18.75" customHeight="1" x14ac:dyDescent="0.2">
      <c r="A51" s="32"/>
      <c r="B51" s="33"/>
      <c r="C51" s="46"/>
      <c r="D51" s="33"/>
      <c r="E51" s="33"/>
      <c r="F51" s="33"/>
      <c r="G51" s="46"/>
      <c r="H51" s="46"/>
      <c r="I51" s="46"/>
      <c r="J51" s="46"/>
      <c r="K51" s="46"/>
      <c r="L51" s="47"/>
      <c r="M51" s="46"/>
      <c r="N51" s="47"/>
      <c r="O51" s="47"/>
      <c r="P51" s="46"/>
      <c r="Q51" s="47"/>
      <c r="R51" s="48"/>
      <c r="S51" s="48"/>
      <c r="T51" s="48"/>
      <c r="U51" s="49"/>
      <c r="V51" s="50"/>
      <c r="W51" s="51"/>
      <c r="X51" s="47"/>
      <c r="Y51" s="47"/>
      <c r="Z51" s="48"/>
      <c r="AA51" s="46"/>
      <c r="AB51" s="47"/>
      <c r="AC51" s="48"/>
      <c r="AD51" s="48"/>
      <c r="AE51" s="52"/>
      <c r="AF51" s="53"/>
      <c r="AG51" s="54"/>
      <c r="AH51" s="117"/>
      <c r="AJ51" s="41"/>
      <c r="AK51" s="41"/>
      <c r="AL51" s="43"/>
      <c r="AM51" s="44"/>
      <c r="AN51" s="44"/>
      <c r="AO51" s="44"/>
      <c r="AP51" s="44"/>
      <c r="AQ51" s="44"/>
      <c r="AR51" s="45"/>
      <c r="AS51" s="44"/>
    </row>
    <row r="52" spans="1:47" ht="18.75" customHeight="1" x14ac:dyDescent="0.2">
      <c r="A52" s="120" t="s">
        <v>249</v>
      </c>
      <c r="B52" s="60"/>
      <c r="C52" s="61"/>
      <c r="D52" s="60"/>
      <c r="E52" s="60">
        <v>73</v>
      </c>
      <c r="F52" s="60" t="s">
        <v>2</v>
      </c>
      <c r="G52" s="62">
        <v>11.91</v>
      </c>
      <c r="H52" s="135" t="s">
        <v>258</v>
      </c>
      <c r="I52" s="63"/>
      <c r="J52" s="64"/>
      <c r="K52" s="61"/>
      <c r="L52" s="64"/>
      <c r="M52" s="61"/>
      <c r="N52" s="64"/>
      <c r="O52" s="61"/>
      <c r="P52" s="61"/>
      <c r="Q52" s="64"/>
      <c r="R52" s="65"/>
      <c r="S52" s="65"/>
      <c r="T52" s="66"/>
      <c r="U52" s="67">
        <f>U48+U50</f>
        <v>234.00671895831027</v>
      </c>
      <c r="V52" s="68">
        <v>5.0000000000000001E-3</v>
      </c>
      <c r="W52" s="129">
        <f>((AF52^2)/8)*(AT52-SIN(AT52))</f>
        <v>0.15719700180220467</v>
      </c>
      <c r="X52" s="129">
        <f>(AF52/2)*AT52</f>
        <v>1.0140074303461446</v>
      </c>
      <c r="Y52" s="130">
        <f>W52/X52</f>
        <v>0.15502549300703194</v>
      </c>
      <c r="Z52" s="67">
        <f>((1/AL52)*W52*Y52^(2/3)*V52^(1/2))*1000</f>
        <v>246.74857646849506</v>
      </c>
      <c r="AA52" s="69">
        <f>(1/AL52)*Y52^(2/3)*V52^(1/2)</f>
        <v>1.569677370685288</v>
      </c>
      <c r="AB52" s="129">
        <f>AU52</f>
        <v>0.28053646692729289</v>
      </c>
      <c r="AC52" s="67">
        <f>AG52/AA52/60</f>
        <v>6.3707359147531131E-2</v>
      </c>
      <c r="AD52" s="131"/>
      <c r="AE52" s="70" t="s">
        <v>238</v>
      </c>
      <c r="AF52" s="62">
        <v>0.8</v>
      </c>
      <c r="AG52" s="69">
        <v>6</v>
      </c>
      <c r="AH52" s="117"/>
      <c r="AI52" s="19" t="str">
        <f>IF(AB52&lt;=AO52,"OK","REVER")</f>
        <v>OK</v>
      </c>
      <c r="AJ52" s="41" t="s">
        <v>108</v>
      </c>
      <c r="AK52" s="42" t="s">
        <v>98</v>
      </c>
      <c r="AL52" s="43">
        <v>1.2999999999999999E-2</v>
      </c>
      <c r="AM52" s="44"/>
      <c r="AN52" s="44"/>
      <c r="AO52" s="44">
        <v>0.68</v>
      </c>
      <c r="AP52" s="44"/>
      <c r="AQ52" s="44"/>
      <c r="AR52" s="45"/>
      <c r="AS52" s="44">
        <f>(U52/1000)*AL52*AF52^(-8/3)*V52^(-1/2)</f>
        <v>7.8003372299749296E-2</v>
      </c>
      <c r="AT52" s="19">
        <f>IFERROR(((3*PI())/2)*SQRT(1-SQRT(1-SQRT(PI()*AS52))),"θ ≥ 270°")</f>
        <v>2.5350185758653616</v>
      </c>
      <c r="AU52" s="19">
        <f>IFERROR((AF52/2)*(1-COS(AT52/2)),"Yn &gt; 85%")</f>
        <v>0.28053646692729289</v>
      </c>
    </row>
    <row r="53" spans="1:47" ht="18.75" customHeight="1" x14ac:dyDescent="0.2">
      <c r="A53" s="32"/>
      <c r="B53" s="33"/>
      <c r="C53" s="46"/>
      <c r="D53" s="33"/>
      <c r="E53" s="33"/>
      <c r="F53" s="33"/>
      <c r="G53" s="46"/>
      <c r="H53" s="46"/>
      <c r="I53" s="46"/>
      <c r="J53" s="46"/>
      <c r="K53" s="46"/>
      <c r="L53" s="47"/>
      <c r="M53" s="46"/>
      <c r="N53" s="47"/>
      <c r="O53" s="47"/>
      <c r="P53" s="46"/>
      <c r="Q53" s="47"/>
      <c r="R53" s="48"/>
      <c r="S53" s="48"/>
      <c r="T53" s="48"/>
      <c r="U53" s="49"/>
      <c r="V53" s="50"/>
      <c r="W53" s="51"/>
      <c r="X53" s="47"/>
      <c r="Y53" s="47"/>
      <c r="Z53" s="48"/>
      <c r="AA53" s="46"/>
      <c r="AB53" s="47"/>
      <c r="AC53" s="48"/>
      <c r="AD53" s="48"/>
      <c r="AE53" s="52"/>
      <c r="AF53" s="53"/>
      <c r="AG53" s="54"/>
      <c r="AH53" s="117"/>
      <c r="AJ53" s="41"/>
      <c r="AK53" s="41"/>
      <c r="AL53" s="43"/>
      <c r="AM53" s="44"/>
      <c r="AN53" s="44"/>
      <c r="AO53" s="44"/>
      <c r="AP53" s="44"/>
      <c r="AQ53" s="44"/>
      <c r="AR53" s="45"/>
      <c r="AS53" s="44"/>
    </row>
    <row r="54" spans="1:47" ht="18.75" customHeight="1" x14ac:dyDescent="0.2">
      <c r="A54" s="32">
        <v>83</v>
      </c>
      <c r="B54" s="33" t="s">
        <v>2</v>
      </c>
      <c r="C54" s="46">
        <v>5.35</v>
      </c>
      <c r="D54" s="33" t="s">
        <v>1</v>
      </c>
      <c r="E54" s="33">
        <v>91</v>
      </c>
      <c r="F54" s="33"/>
      <c r="G54" s="54">
        <v>17.57</v>
      </c>
      <c r="H54" s="54">
        <v>13</v>
      </c>
      <c r="I54" s="55">
        <v>103.19</v>
      </c>
      <c r="J54" s="55">
        <v>102</v>
      </c>
      <c r="K54" s="56">
        <v>0.9</v>
      </c>
      <c r="L54" s="57">
        <f>(3*AG54)/10000</f>
        <v>5.1666000000000011E-2</v>
      </c>
      <c r="M54" s="56">
        <v>0.2</v>
      </c>
      <c r="N54" s="57">
        <f>(O54*AG54)/10000</f>
        <v>1.7222000000000004</v>
      </c>
      <c r="O54" s="56">
        <v>100</v>
      </c>
      <c r="P54" s="56">
        <f t="shared" ref="P54" si="54">(K54*L54+M54*N54)/(L54+N54)</f>
        <v>0.22038834951456313</v>
      </c>
      <c r="Q54" s="57">
        <f t="shared" ref="Q54" si="55">L54+N54</f>
        <v>1.7738660000000004</v>
      </c>
      <c r="R54" s="125">
        <v>5</v>
      </c>
      <c r="S54" s="125">
        <f>($P$3*$U$67^$Q$3)/(R54+$R$3)^$S$3</f>
        <v>131.2230745739565</v>
      </c>
      <c r="T54" s="125">
        <f t="shared" ref="T54" si="56">P54*Q54*S54*2.77777777777778</f>
        <v>142.50075011138296</v>
      </c>
      <c r="U54" s="125">
        <f t="shared" ref="U54" si="57">T54</f>
        <v>142.50075011138296</v>
      </c>
      <c r="V54" s="126">
        <f>(I54-J54)/AG54</f>
        <v>6.9097665776332454E-3</v>
      </c>
      <c r="W54" s="57">
        <f>((AB54^2)*(AP54+AQ54))/2</f>
        <v>9.8682322220117913E-2</v>
      </c>
      <c r="X54" s="57">
        <f>(SQRT((AB54^2)+((AB54*(AP54))^2)))+(SQRT((AB54^2)+((AB54*(AQ54))^2)))</f>
        <v>1.0950552303656242</v>
      </c>
      <c r="Y54" s="127">
        <f t="shared" ref="Y54" si="58">W54/X54</f>
        <v>9.0116296862185849E-2</v>
      </c>
      <c r="Z54" s="125">
        <f>W54*(1/AL54)*Y54^(2/3)*V54^(1/2)*1000</f>
        <v>109.9213401805728</v>
      </c>
      <c r="AA54" s="56">
        <f>(1/AL54)*Y54^(2/3)*V54^(1/2)</f>
        <v>1.1138908946162156</v>
      </c>
      <c r="AB54" s="57">
        <f>((U54/1000)/(0.375*SQRT(V54)*((AP54+AQ54)/AL54)))^(3/8)</f>
        <v>0.20479254611325606</v>
      </c>
      <c r="AC54" s="125">
        <f>AG54/AA54/60</f>
        <v>2.5768532153432222</v>
      </c>
      <c r="AD54" s="128">
        <f>((3.6*10^6)*W54*(Y54^(2/3))*(V54^(1/2)))/(AL54*P54*S54*O54)</f>
        <v>136.83136956706915</v>
      </c>
      <c r="AE54" s="58" t="s">
        <v>255</v>
      </c>
      <c r="AF54" s="59" t="str">
        <f>INDEX(TIPOS!K:K,MATCH($AE54,TIPOS!$A:$A,0))</f>
        <v>- 0,80 x 0,17</v>
      </c>
      <c r="AG54" s="56">
        <f>IF(A54&lt;E54,(((E54*20)+G54)-((A54*20)+C54)),(((A54*20)+C54)-((E54*20)+G54)))</f>
        <v>172.22000000000003</v>
      </c>
      <c r="AH54" s="117"/>
      <c r="AI54" s="19" t="str">
        <f>IF(AB54&lt;=AO54,"OK","REVER")</f>
        <v>REVER</v>
      </c>
      <c r="AJ54" s="41" t="str">
        <f>INDEX(TIPOS!D:D,MATCH($AE54,TIPOS!$A:$A,0))</f>
        <v>Triangular</v>
      </c>
      <c r="AK54" s="42" t="str">
        <f>INDEX(TIPOS!B:B,MATCH($AE54,TIPOS!$A:$A,0))</f>
        <v>Concreto</v>
      </c>
      <c r="AL54" s="43">
        <f>INDEX(TIPOS!C:C,MATCH($AE54,TIPOS!$A:$A,0))</f>
        <v>1.4999999999999999E-2</v>
      </c>
      <c r="AM54" s="44">
        <f>INDEX(TIPOS!E:E,MATCH($AE54,TIPOS!$A:$A,0))</f>
        <v>0.68</v>
      </c>
      <c r="AN54" s="44">
        <f>INDEX(TIPOS!F:F,MATCH($AE54,TIPOS!$A:$A,0))</f>
        <v>0.12</v>
      </c>
      <c r="AO54" s="44">
        <f>INDEX(TIPOS!G:G,MATCH($AE54,TIPOS!$A:$A,0))</f>
        <v>0.17</v>
      </c>
      <c r="AP54" s="44">
        <f>INDEX(TIPOS!H:H,MATCH($AE54,TIPOS!$A:$A,0))</f>
        <v>4</v>
      </c>
      <c r="AQ54" s="44">
        <f>INDEX(TIPOS!I:I,MATCH($AE54,TIPOS!$A:$A,0))</f>
        <v>0.70588235294117641</v>
      </c>
      <c r="AR54" s="45"/>
      <c r="AS54" s="44"/>
    </row>
    <row r="55" spans="1:47" ht="18.75" customHeight="1" x14ac:dyDescent="0.2">
      <c r="A55" s="32"/>
      <c r="B55" s="33"/>
      <c r="C55" s="46"/>
      <c r="D55" s="33"/>
      <c r="E55" s="33"/>
      <c r="F55" s="33"/>
      <c r="G55" s="46"/>
      <c r="H55" s="46"/>
      <c r="I55" s="46"/>
      <c r="J55" s="46"/>
      <c r="K55" s="46"/>
      <c r="L55" s="47"/>
      <c r="M55" s="46"/>
      <c r="N55" s="47"/>
      <c r="O55" s="47"/>
      <c r="P55" s="46"/>
      <c r="Q55" s="47"/>
      <c r="R55" s="48"/>
      <c r="S55" s="48"/>
      <c r="T55" s="48"/>
      <c r="U55" s="49"/>
      <c r="V55" s="50"/>
      <c r="W55" s="51"/>
      <c r="X55" s="47"/>
      <c r="Y55" s="47"/>
      <c r="Z55" s="48"/>
      <c r="AA55" s="46"/>
      <c r="AB55" s="47"/>
      <c r="AC55" s="48"/>
      <c r="AD55" s="48"/>
      <c r="AE55" s="52"/>
      <c r="AF55" s="53"/>
      <c r="AG55" s="54"/>
      <c r="AH55" s="117"/>
      <c r="AJ55" s="41"/>
      <c r="AK55" s="41"/>
      <c r="AL55" s="43"/>
      <c r="AM55" s="44"/>
      <c r="AN55" s="44"/>
      <c r="AO55" s="44"/>
      <c r="AP55" s="44"/>
      <c r="AQ55" s="44"/>
      <c r="AR55" s="45"/>
      <c r="AS55" s="44"/>
    </row>
    <row r="56" spans="1:47" ht="18.75" customHeight="1" x14ac:dyDescent="0.2">
      <c r="A56" s="32">
        <v>98</v>
      </c>
      <c r="B56" s="33" t="s">
        <v>2</v>
      </c>
      <c r="C56" s="46">
        <v>15.08</v>
      </c>
      <c r="D56" s="33" t="s">
        <v>1</v>
      </c>
      <c r="E56" s="33">
        <v>91</v>
      </c>
      <c r="F56" s="33"/>
      <c r="G56" s="54">
        <v>17.57</v>
      </c>
      <c r="H56" s="54">
        <v>14</v>
      </c>
      <c r="I56" s="55">
        <v>102.8</v>
      </c>
      <c r="J56" s="55">
        <v>102</v>
      </c>
      <c r="K56" s="56">
        <v>0.9</v>
      </c>
      <c r="L56" s="57">
        <f>(3*AG56)/10000</f>
        <v>4.1252999999999998E-2</v>
      </c>
      <c r="M56" s="56">
        <v>0.2</v>
      </c>
      <c r="N56" s="57">
        <f>(O56*AG56)/10000</f>
        <v>1.3751</v>
      </c>
      <c r="O56" s="56">
        <v>100</v>
      </c>
      <c r="P56" s="56">
        <f t="shared" ref="P56" si="59">(K56*L56+M56*N56)/(L56+N56)</f>
        <v>0.2203883495145631</v>
      </c>
      <c r="Q56" s="57">
        <f t="shared" ref="Q56" si="60">L56+N56</f>
        <v>1.416353</v>
      </c>
      <c r="R56" s="125">
        <v>5</v>
      </c>
      <c r="S56" s="125">
        <f>($P$3*$U$67^$Q$3)/(R56+$R$3)^$S$3</f>
        <v>131.2230745739565</v>
      </c>
      <c r="T56" s="125">
        <f t="shared" ref="T56" si="61">P56*Q56*S56*2.77777777777778</f>
        <v>113.78050254219174</v>
      </c>
      <c r="U56" s="125">
        <f t="shared" ref="U56" si="62">T56</f>
        <v>113.78050254219174</v>
      </c>
      <c r="V56" s="126">
        <f>(I56-J56)/AG56</f>
        <v>5.8177587084575462E-3</v>
      </c>
      <c r="W56" s="57">
        <f>((AB56^2)*(AP56+AQ56))/2</f>
        <v>8.8908393012960996E-2</v>
      </c>
      <c r="X56" s="57">
        <f>(SQRT((AB56^2)+((AB56*(AP56))^2)))+(SQRT((AB56^2)+((AB56*(AQ56))^2)))</f>
        <v>1.0394119935124595</v>
      </c>
      <c r="Y56" s="127">
        <f t="shared" ref="Y56" si="63">W56/X56</f>
        <v>8.553720138682934E-2</v>
      </c>
      <c r="Z56" s="125">
        <f>W56*(1/AL56)*Y56^(2/3)*V56^(1/2)*1000</f>
        <v>87.767294670947365</v>
      </c>
      <c r="AA56" s="56">
        <f>(1/AL56)*Y56^(2/3)*V56^(1/2)</f>
        <v>0.98716545982506643</v>
      </c>
      <c r="AB56" s="57">
        <f>((U56/1000)/(0.375*SQRT(V56)*((AP56+AQ56)/AL56)))^(3/8)</f>
        <v>0.1943863859186348</v>
      </c>
      <c r="AC56" s="125">
        <f>AG56/AA56/60</f>
        <v>2.3216303918691241</v>
      </c>
      <c r="AD56" s="128">
        <f>((3.6*10^6)*W56*(Y56^(2/3))*(V56^(1/2)))/(AL56*P56*S56*O56)</f>
        <v>109.25375466942089</v>
      </c>
      <c r="AE56" s="58" t="s">
        <v>255</v>
      </c>
      <c r="AF56" s="59" t="str">
        <f>INDEX(TIPOS!K:K,MATCH($AE56,TIPOS!$A:$A,0))</f>
        <v>- 0,80 x 0,17</v>
      </c>
      <c r="AG56" s="56">
        <f>IF(A56&lt;E56,(((E56*20)+G56)-((A56*20)+C56)),(((A56*20)+C56)-((E56*20)+G56)))</f>
        <v>137.51</v>
      </c>
      <c r="AH56" s="117"/>
      <c r="AI56" s="19" t="str">
        <f>IF(AB56&lt;=AO56,"OK","REVER")</f>
        <v>REVER</v>
      </c>
      <c r="AJ56" s="41" t="str">
        <f>INDEX(TIPOS!D:D,MATCH($AE56,TIPOS!$A:$A,0))</f>
        <v>Triangular</v>
      </c>
      <c r="AK56" s="42" t="str">
        <f>INDEX(TIPOS!B:B,MATCH($AE56,TIPOS!$A:$A,0))</f>
        <v>Concreto</v>
      </c>
      <c r="AL56" s="43">
        <f>INDEX(TIPOS!C:C,MATCH($AE56,TIPOS!$A:$A,0))</f>
        <v>1.4999999999999999E-2</v>
      </c>
      <c r="AM56" s="44">
        <f>INDEX(TIPOS!E:E,MATCH($AE56,TIPOS!$A:$A,0))</f>
        <v>0.68</v>
      </c>
      <c r="AN56" s="44">
        <f>INDEX(TIPOS!F:F,MATCH($AE56,TIPOS!$A:$A,0))</f>
        <v>0.12</v>
      </c>
      <c r="AO56" s="44">
        <f>INDEX(TIPOS!G:G,MATCH($AE56,TIPOS!$A:$A,0))</f>
        <v>0.17</v>
      </c>
      <c r="AP56" s="44">
        <f>INDEX(TIPOS!H:H,MATCH($AE56,TIPOS!$A:$A,0))</f>
        <v>4</v>
      </c>
      <c r="AQ56" s="44">
        <f>INDEX(TIPOS!I:I,MATCH($AE56,TIPOS!$A:$A,0))</f>
        <v>0.70588235294117641</v>
      </c>
      <c r="AR56" s="45"/>
      <c r="AS56" s="44"/>
    </row>
    <row r="57" spans="1:47" ht="18.75" customHeight="1" x14ac:dyDescent="0.2">
      <c r="A57" s="32"/>
      <c r="B57" s="33"/>
      <c r="C57" s="46"/>
      <c r="D57" s="33"/>
      <c r="E57" s="33"/>
      <c r="F57" s="33"/>
      <c r="G57" s="46"/>
      <c r="H57" s="46"/>
      <c r="I57" s="46"/>
      <c r="J57" s="46"/>
      <c r="K57" s="46"/>
      <c r="L57" s="47"/>
      <c r="M57" s="46"/>
      <c r="N57" s="47"/>
      <c r="O57" s="47"/>
      <c r="P57" s="46"/>
      <c r="Q57" s="47"/>
      <c r="R57" s="48"/>
      <c r="S57" s="48"/>
      <c r="T57" s="48"/>
      <c r="U57" s="49"/>
      <c r="V57" s="50"/>
      <c r="W57" s="51"/>
      <c r="X57" s="47"/>
      <c r="Y57" s="47"/>
      <c r="Z57" s="48"/>
      <c r="AA57" s="46"/>
      <c r="AB57" s="47"/>
      <c r="AC57" s="48"/>
      <c r="AD57" s="48"/>
      <c r="AE57" s="52"/>
      <c r="AF57" s="53"/>
      <c r="AG57" s="54"/>
      <c r="AH57" s="117"/>
      <c r="AJ57" s="41"/>
      <c r="AK57" s="41"/>
      <c r="AL57" s="43"/>
      <c r="AM57" s="44"/>
      <c r="AN57" s="44"/>
      <c r="AO57" s="44"/>
      <c r="AP57" s="44"/>
      <c r="AQ57" s="44"/>
      <c r="AR57" s="45"/>
      <c r="AS57" s="44"/>
    </row>
    <row r="58" spans="1:47" ht="18.75" customHeight="1" x14ac:dyDescent="0.2">
      <c r="A58" s="120" t="s">
        <v>249</v>
      </c>
      <c r="B58" s="60"/>
      <c r="C58" s="61"/>
      <c r="D58" s="60"/>
      <c r="E58" s="60">
        <v>91</v>
      </c>
      <c r="F58" s="60"/>
      <c r="G58" s="62">
        <v>17.57</v>
      </c>
      <c r="H58" s="62" t="s">
        <v>236</v>
      </c>
      <c r="I58" s="63"/>
      <c r="J58" s="64"/>
      <c r="K58" s="61"/>
      <c r="L58" s="64"/>
      <c r="M58" s="61"/>
      <c r="N58" s="64"/>
      <c r="O58" s="61"/>
      <c r="P58" s="61"/>
      <c r="Q58" s="64"/>
      <c r="R58" s="65"/>
      <c r="S58" s="65"/>
      <c r="T58" s="66"/>
      <c r="U58" s="67">
        <f>U54+U56</f>
        <v>256.28125265357471</v>
      </c>
      <c r="V58" s="68">
        <v>5.0000000000000001E-3</v>
      </c>
      <c r="W58" s="129">
        <f>((AF58^2)/8)*(AT58-SIN(AT58))</f>
        <v>0.16762464221764742</v>
      </c>
      <c r="X58" s="129">
        <f>(AF58/2)*AT58</f>
        <v>1.0423266245391563</v>
      </c>
      <c r="Y58" s="130">
        <f>W58/X58</f>
        <v>0.16081776889442814</v>
      </c>
      <c r="Z58" s="67">
        <f>((1/AL58)*W58*Y58^(2/3)*V58^(1/2))*1000</f>
        <v>269.63040797785641</v>
      </c>
      <c r="AA58" s="69">
        <f>(1/AL58)*Y58^(2/3)*V58^(1/2)</f>
        <v>1.6085368142218763</v>
      </c>
      <c r="AB58" s="129">
        <f>AU58</f>
        <v>0.29412183853543478</v>
      </c>
      <c r="AC58" s="67">
        <f>AG58/AA58/60</f>
        <v>6.2168300480194248E-2</v>
      </c>
      <c r="AD58" s="131"/>
      <c r="AE58" s="70" t="s">
        <v>238</v>
      </c>
      <c r="AF58" s="62">
        <v>0.8</v>
      </c>
      <c r="AG58" s="69">
        <v>6</v>
      </c>
      <c r="AH58" s="117"/>
      <c r="AI58" s="19" t="str">
        <f>IF(AB58&lt;=AO58,"OK","REVER")</f>
        <v>OK</v>
      </c>
      <c r="AJ58" s="41" t="s">
        <v>108</v>
      </c>
      <c r="AK58" s="42" t="s">
        <v>98</v>
      </c>
      <c r="AL58" s="43">
        <v>1.2999999999999999E-2</v>
      </c>
      <c r="AM58" s="44"/>
      <c r="AN58" s="44"/>
      <c r="AO58" s="44">
        <v>0.68</v>
      </c>
      <c r="AP58" s="44"/>
      <c r="AQ58" s="44"/>
      <c r="AR58" s="45"/>
      <c r="AS58" s="44">
        <f>(U58/1000)*AL58*AF58^(-8/3)*V58^(-1/2)</f>
        <v>8.5428324678764392E-2</v>
      </c>
      <c r="AT58" s="19">
        <f>IFERROR(((3*PI())/2)*SQRT(1-SQRT(1-SQRT(PI()*AS58))),"θ ≥ 270°")</f>
        <v>2.6058165613478903</v>
      </c>
      <c r="AU58" s="19">
        <f>IFERROR((AF58/2)*(1-COS(AT58/2)),"Yn &gt; 85%")</f>
        <v>0.29412183853543478</v>
      </c>
    </row>
    <row r="59" spans="1:47" ht="18.75" customHeight="1" x14ac:dyDescent="0.2">
      <c r="A59" s="32"/>
      <c r="B59" s="33"/>
      <c r="C59" s="46"/>
      <c r="D59" s="33"/>
      <c r="E59" s="33"/>
      <c r="F59" s="33"/>
      <c r="G59" s="46"/>
      <c r="H59" s="46"/>
      <c r="I59" s="46"/>
      <c r="J59" s="46"/>
      <c r="K59" s="46"/>
      <c r="L59" s="47"/>
      <c r="M59" s="46"/>
      <c r="N59" s="47"/>
      <c r="O59" s="47"/>
      <c r="P59" s="46"/>
      <c r="Q59" s="47"/>
      <c r="R59" s="48"/>
      <c r="S59" s="48"/>
      <c r="T59" s="48"/>
      <c r="U59" s="49"/>
      <c r="V59" s="50"/>
      <c r="W59" s="51"/>
      <c r="X59" s="47"/>
      <c r="Y59" s="47"/>
      <c r="Z59" s="48"/>
      <c r="AA59" s="46"/>
      <c r="AB59" s="47"/>
      <c r="AC59" s="48"/>
      <c r="AD59" s="48"/>
      <c r="AE59" s="52"/>
      <c r="AF59" s="53"/>
      <c r="AG59" s="54"/>
      <c r="AH59" s="117"/>
      <c r="AJ59" s="41"/>
      <c r="AK59" s="41"/>
      <c r="AL59" s="43"/>
      <c r="AM59" s="44"/>
      <c r="AN59" s="44"/>
      <c r="AO59" s="44"/>
      <c r="AP59" s="44"/>
      <c r="AQ59" s="44"/>
      <c r="AR59" s="45"/>
      <c r="AS59" s="44"/>
    </row>
    <row r="60" spans="1:47" ht="18.75" customHeight="1" x14ac:dyDescent="0.2">
      <c r="A60" s="32">
        <v>98</v>
      </c>
      <c r="B60" s="33" t="s">
        <v>2</v>
      </c>
      <c r="C60" s="46">
        <v>15.08</v>
      </c>
      <c r="D60" s="33" t="s">
        <v>1</v>
      </c>
      <c r="E60" s="33">
        <v>104</v>
      </c>
      <c r="F60" s="33" t="s">
        <v>2</v>
      </c>
      <c r="G60" s="54">
        <v>10</v>
      </c>
      <c r="H60" s="54">
        <v>15</v>
      </c>
      <c r="I60" s="55">
        <v>102.8</v>
      </c>
      <c r="J60" s="55">
        <v>102</v>
      </c>
      <c r="K60" s="56">
        <v>0.9</v>
      </c>
      <c r="L60" s="57">
        <f>(3*AG60)/10000</f>
        <v>3.4476000000000021E-2</v>
      </c>
      <c r="M60" s="56">
        <v>0.2</v>
      </c>
      <c r="N60" s="57">
        <f>(O60*AG60)/10000</f>
        <v>1.1492000000000007</v>
      </c>
      <c r="O60" s="56">
        <v>100</v>
      </c>
      <c r="P60" s="56">
        <f t="shared" ref="P60" si="64">(K60*L60+M60*N60)/(L60+N60)</f>
        <v>0.22038834951456313</v>
      </c>
      <c r="Q60" s="57">
        <f t="shared" ref="Q60" si="65">L60+N60</f>
        <v>1.1836760000000006</v>
      </c>
      <c r="R60" s="125">
        <v>5</v>
      </c>
      <c r="S60" s="125">
        <f>($P$3*$U$67^$Q$3)/(R60+$R$3)^$S$3</f>
        <v>131.2230745739565</v>
      </c>
      <c r="T60" s="125">
        <f t="shared" ref="T60" si="66">P60*Q60*S60*2.77777777777778</f>
        <v>95.088759742191002</v>
      </c>
      <c r="U60" s="125">
        <f t="shared" ref="U60" si="67">T60</f>
        <v>95.088759742191002</v>
      </c>
      <c r="V60" s="126">
        <f>(I60-J60)/AG60</f>
        <v>6.9613644274277471E-3</v>
      </c>
      <c r="W60" s="57">
        <f>((AB60^2)*(AP60+AQ60))/2</f>
        <v>7.2654373593724161E-2</v>
      </c>
      <c r="X60" s="57">
        <f>(SQRT((AB60^2)+((AB60*(AP60))^2)))+(SQRT((AB60^2)+((AB60*(AQ60))^2)))</f>
        <v>0.93960912291685927</v>
      </c>
      <c r="Y60" s="127">
        <f t="shared" ref="Y60" si="68">W60/X60</f>
        <v>7.7324040201079372E-2</v>
      </c>
      <c r="Z60" s="125">
        <f>W60*(1/AL60)*Y60^(2/3)*V60^(1/2)*1000</f>
        <v>73.348974646100487</v>
      </c>
      <c r="AA60" s="56">
        <f>(1/AL60)*Y60^(2/3)*V60^(1/2)</f>
        <v>1.0095603474095101</v>
      </c>
      <c r="AB60" s="57">
        <f>((U60/1000)/(0.375*SQRT(V60)*((AP60+AQ60)/AL60)))^(3/8)</f>
        <v>0.17572167987283974</v>
      </c>
      <c r="AC60" s="125">
        <f>AG60/AA60/60</f>
        <v>1.897195485389259</v>
      </c>
      <c r="AD60" s="128">
        <f>((3.6*10^6)*W60*(Y60^(2/3))*(V60^(1/2)))/(AL60*P60*S60*O60)</f>
        <v>91.305661309067403</v>
      </c>
      <c r="AE60" s="58" t="s">
        <v>255</v>
      </c>
      <c r="AF60" s="59" t="str">
        <f>INDEX(TIPOS!K:K,MATCH($AE60,TIPOS!$A:$A,0))</f>
        <v>- 0,80 x 0,17</v>
      </c>
      <c r="AG60" s="56">
        <f>IF(A60&lt;E60,(((E60*20)+G60)-((A60*20)+C60)),(((A60*20)+C60)-((E60*20)+G60)))</f>
        <v>114.92000000000007</v>
      </c>
      <c r="AH60" s="117"/>
      <c r="AI60" s="19" t="str">
        <f>IF(AB60&lt;=AO60,"OK","REVER")</f>
        <v>REVER</v>
      </c>
      <c r="AJ60" s="41" t="str">
        <f>INDEX(TIPOS!D:D,MATCH($AE60,TIPOS!$A:$A,0))</f>
        <v>Triangular</v>
      </c>
      <c r="AK60" s="42" t="str">
        <f>INDEX(TIPOS!B:B,MATCH($AE60,TIPOS!$A:$A,0))</f>
        <v>Concreto</v>
      </c>
      <c r="AL60" s="43">
        <f>INDEX(TIPOS!C:C,MATCH($AE60,TIPOS!$A:$A,0))</f>
        <v>1.4999999999999999E-2</v>
      </c>
      <c r="AM60" s="44">
        <f>INDEX(TIPOS!E:E,MATCH($AE60,TIPOS!$A:$A,0))</f>
        <v>0.68</v>
      </c>
      <c r="AN60" s="44">
        <f>INDEX(TIPOS!F:F,MATCH($AE60,TIPOS!$A:$A,0))</f>
        <v>0.12</v>
      </c>
      <c r="AO60" s="44">
        <f>INDEX(TIPOS!G:G,MATCH($AE60,TIPOS!$A:$A,0))</f>
        <v>0.17</v>
      </c>
      <c r="AP60" s="44">
        <f>INDEX(TIPOS!H:H,MATCH($AE60,TIPOS!$A:$A,0))</f>
        <v>4</v>
      </c>
      <c r="AQ60" s="44">
        <f>INDEX(TIPOS!I:I,MATCH($AE60,TIPOS!$A:$A,0))</f>
        <v>0.70588235294117641</v>
      </c>
      <c r="AR60" s="45"/>
      <c r="AS60" s="44"/>
    </row>
    <row r="61" spans="1:47" ht="18.75" customHeight="1" x14ac:dyDescent="0.2">
      <c r="A61" s="32"/>
      <c r="B61" s="33"/>
      <c r="C61" s="46"/>
      <c r="D61" s="33"/>
      <c r="E61" s="33"/>
      <c r="F61" s="33"/>
      <c r="G61" s="46"/>
      <c r="H61" s="46"/>
      <c r="I61" s="46"/>
      <c r="J61" s="46"/>
      <c r="K61" s="46"/>
      <c r="L61" s="47"/>
      <c r="M61" s="46"/>
      <c r="N61" s="47"/>
      <c r="O61" s="47"/>
      <c r="P61" s="46"/>
      <c r="Q61" s="47"/>
      <c r="R61" s="48"/>
      <c r="S61" s="48"/>
      <c r="T61" s="48"/>
      <c r="U61" s="49"/>
      <c r="V61" s="50"/>
      <c r="W61" s="51"/>
      <c r="X61" s="47"/>
      <c r="Y61" s="47"/>
      <c r="Z61" s="48"/>
      <c r="AA61" s="46"/>
      <c r="AB61" s="47"/>
      <c r="AC61" s="48"/>
      <c r="AD61" s="48"/>
      <c r="AE61" s="52"/>
      <c r="AF61" s="53"/>
      <c r="AG61" s="54"/>
      <c r="AH61" s="117"/>
      <c r="AJ61" s="41"/>
      <c r="AK61" s="41"/>
      <c r="AL61" s="43"/>
      <c r="AM61" s="44"/>
      <c r="AN61" s="44"/>
      <c r="AO61" s="44"/>
      <c r="AP61" s="44"/>
      <c r="AQ61" s="44"/>
      <c r="AR61" s="45"/>
      <c r="AS61" s="44"/>
    </row>
    <row r="62" spans="1:47" ht="18.75" customHeight="1" x14ac:dyDescent="0.2">
      <c r="A62" s="32"/>
      <c r="B62" s="33"/>
      <c r="C62" s="46"/>
      <c r="D62" s="33"/>
      <c r="E62" s="33"/>
      <c r="F62" s="33"/>
      <c r="G62" s="46"/>
      <c r="H62" s="46"/>
      <c r="I62" s="46"/>
      <c r="J62" s="46"/>
      <c r="K62" s="46"/>
      <c r="L62" s="47"/>
      <c r="M62" s="46"/>
      <c r="N62" s="47"/>
      <c r="O62" s="47"/>
      <c r="P62" s="46"/>
      <c r="Q62" s="47"/>
      <c r="R62" s="48"/>
      <c r="S62" s="48"/>
      <c r="T62" s="48"/>
      <c r="U62" s="49"/>
      <c r="V62" s="50"/>
      <c r="W62" s="51"/>
      <c r="X62" s="47"/>
      <c r="Y62" s="47"/>
      <c r="Z62" s="48"/>
      <c r="AA62" s="46"/>
      <c r="AB62" s="47"/>
      <c r="AC62" s="48"/>
      <c r="AD62" s="48"/>
      <c r="AE62" s="52"/>
      <c r="AF62" s="53"/>
      <c r="AG62" s="54"/>
      <c r="AH62" s="117"/>
      <c r="AJ62" s="41"/>
      <c r="AK62" s="41"/>
      <c r="AL62" s="43"/>
      <c r="AM62" s="44"/>
      <c r="AN62" s="44"/>
      <c r="AO62" s="44"/>
      <c r="AP62" s="44"/>
      <c r="AQ62" s="44"/>
      <c r="AR62" s="45"/>
      <c r="AS62" s="44"/>
    </row>
    <row r="63" spans="1:47" ht="15" customHeight="1" x14ac:dyDescent="0.2">
      <c r="A63" s="109" t="s">
        <v>252</v>
      </c>
      <c r="B63" s="71"/>
      <c r="C63" s="71"/>
      <c r="D63" s="71"/>
      <c r="E63" s="71"/>
      <c r="F63" s="71"/>
      <c r="G63" s="71"/>
      <c r="H63" s="71"/>
      <c r="I63" s="71"/>
      <c r="J63" s="71"/>
      <c r="K63" s="109" t="s">
        <v>184</v>
      </c>
      <c r="L63" s="71"/>
      <c r="M63" s="71"/>
      <c r="N63" s="71"/>
      <c r="O63" s="71"/>
      <c r="P63" s="109" t="s">
        <v>211</v>
      </c>
      <c r="Q63" s="71"/>
      <c r="R63" s="71"/>
      <c r="S63" s="71"/>
      <c r="T63" s="71"/>
      <c r="U63" s="173" t="s">
        <v>187</v>
      </c>
      <c r="V63" s="110"/>
      <c r="W63" s="72"/>
      <c r="X63" s="109" t="s">
        <v>271</v>
      </c>
      <c r="Y63" s="71"/>
      <c r="Z63" s="71"/>
      <c r="AA63" s="71"/>
      <c r="AB63" s="71"/>
      <c r="AC63" s="71"/>
      <c r="AD63" s="71"/>
      <c r="AE63" s="112" t="s">
        <v>186</v>
      </c>
      <c r="AF63" s="109" t="s">
        <v>185</v>
      </c>
      <c r="AG63" s="111"/>
      <c r="AH63" s="118"/>
    </row>
    <row r="64" spans="1:47" ht="15" customHeight="1" x14ac:dyDescent="0.2">
      <c r="A64" s="73"/>
      <c r="B64" s="170"/>
      <c r="C64" s="170"/>
      <c r="D64" s="170"/>
      <c r="E64" s="170"/>
      <c r="F64" s="170"/>
      <c r="G64" s="170"/>
      <c r="H64" s="170"/>
      <c r="I64" s="170"/>
      <c r="J64" s="170"/>
      <c r="K64" s="73" t="s">
        <v>257</v>
      </c>
      <c r="L64" s="170"/>
      <c r="M64" s="170"/>
      <c r="N64" s="170"/>
      <c r="O64" s="170"/>
      <c r="P64" s="73"/>
      <c r="Q64" s="170"/>
      <c r="R64" s="170"/>
      <c r="S64" s="170"/>
      <c r="T64" s="170"/>
      <c r="U64" s="179" t="s">
        <v>206</v>
      </c>
      <c r="V64" s="181"/>
      <c r="W64" s="74"/>
      <c r="X64" s="73"/>
      <c r="Y64" s="170"/>
      <c r="Z64" s="170"/>
      <c r="AA64" s="170"/>
      <c r="AB64" s="170"/>
      <c r="AC64" s="170"/>
      <c r="AD64" s="170"/>
      <c r="AE64" s="132">
        <v>1</v>
      </c>
      <c r="AF64" s="133">
        <v>45778</v>
      </c>
      <c r="AG64" s="172"/>
      <c r="AH64" s="118"/>
    </row>
    <row r="65" spans="1:34" ht="15" customHeight="1" x14ac:dyDescent="0.2">
      <c r="A65" s="73"/>
      <c r="K65" s="73"/>
      <c r="P65" s="175"/>
      <c r="Q65" s="176"/>
      <c r="R65" s="176"/>
      <c r="S65" s="176"/>
      <c r="T65" s="176"/>
      <c r="U65" s="73"/>
      <c r="V65" s="170"/>
      <c r="W65" s="74"/>
      <c r="X65" s="73"/>
      <c r="AE65" s="75"/>
      <c r="AF65" s="73"/>
      <c r="AG65" s="74"/>
    </row>
    <row r="66" spans="1:34" ht="15" customHeight="1" x14ac:dyDescent="0.2">
      <c r="A66" s="73"/>
      <c r="K66" s="73"/>
      <c r="P66" s="175"/>
      <c r="Q66" s="176"/>
      <c r="R66" s="176"/>
      <c r="S66" s="176"/>
      <c r="T66" s="176"/>
      <c r="U66" s="174" t="s">
        <v>188</v>
      </c>
      <c r="V66" s="170"/>
      <c r="W66" s="74"/>
      <c r="X66" s="73"/>
      <c r="AE66" s="75"/>
      <c r="AF66" s="73"/>
      <c r="AG66" s="74"/>
    </row>
    <row r="67" spans="1:34" ht="15" customHeight="1" x14ac:dyDescent="0.2">
      <c r="A67" s="73"/>
      <c r="K67" s="73"/>
      <c r="P67" s="175"/>
      <c r="Q67" s="176"/>
      <c r="R67" s="176"/>
      <c r="S67" s="176"/>
      <c r="T67" s="176"/>
      <c r="U67" s="180">
        <v>10</v>
      </c>
      <c r="V67" s="170"/>
      <c r="W67" s="74"/>
      <c r="X67" s="73"/>
      <c r="AE67" s="75"/>
      <c r="AF67" s="73"/>
      <c r="AG67" s="74"/>
    </row>
    <row r="68" spans="1:34" ht="15" customHeight="1" x14ac:dyDescent="0.2">
      <c r="A68" s="73"/>
      <c r="K68" s="73"/>
      <c r="P68" s="175"/>
      <c r="Q68" s="176"/>
      <c r="R68" s="176"/>
      <c r="S68" s="176"/>
      <c r="T68" s="176"/>
      <c r="U68" s="113"/>
      <c r="V68" s="169"/>
      <c r="W68" s="74"/>
      <c r="X68" s="73"/>
      <c r="AE68" s="75"/>
      <c r="AF68" s="73"/>
      <c r="AG68" s="74"/>
    </row>
    <row r="69" spans="1:34" ht="15" customHeight="1" x14ac:dyDescent="0.2">
      <c r="A69" s="73"/>
      <c r="D69" s="140"/>
      <c r="E69" s="140"/>
      <c r="F69" s="140"/>
      <c r="G69" s="140"/>
      <c r="H69" s="88"/>
      <c r="I69" s="88"/>
      <c r="J69" s="88"/>
      <c r="K69" s="113"/>
      <c r="L69" s="121"/>
      <c r="M69" s="121"/>
      <c r="O69" s="122"/>
      <c r="P69" s="175"/>
      <c r="Q69" s="176"/>
      <c r="R69" s="176"/>
      <c r="S69" s="176"/>
      <c r="T69" s="176"/>
      <c r="U69" s="73"/>
      <c r="V69" s="171"/>
      <c r="W69" s="74"/>
      <c r="X69" s="73"/>
      <c r="Z69" s="140"/>
      <c r="AA69" s="140"/>
      <c r="AB69" s="140"/>
      <c r="AC69" s="140"/>
      <c r="AD69" s="88"/>
      <c r="AE69" s="75"/>
      <c r="AF69" s="73"/>
      <c r="AG69" s="183"/>
      <c r="AH69" s="119"/>
    </row>
    <row r="70" spans="1:34" ht="15" customHeight="1" x14ac:dyDescent="0.2">
      <c r="A70" s="73"/>
      <c r="D70" s="88"/>
      <c r="E70" s="88"/>
      <c r="F70" s="88"/>
      <c r="G70" s="88"/>
      <c r="H70" s="88"/>
      <c r="I70" s="88"/>
      <c r="J70" s="88"/>
      <c r="K70" s="113"/>
      <c r="L70" s="121"/>
      <c r="M70" s="121"/>
      <c r="O70" s="122"/>
      <c r="P70" s="175"/>
      <c r="Q70" s="176"/>
      <c r="R70" s="176"/>
      <c r="S70" s="176"/>
      <c r="T70" s="176"/>
      <c r="U70" s="73"/>
      <c r="V70" s="182"/>
      <c r="W70" s="74"/>
      <c r="X70" s="73"/>
      <c r="Z70" s="88"/>
      <c r="AA70" s="88"/>
      <c r="AB70" s="88"/>
      <c r="AC70" s="88"/>
      <c r="AD70" s="88"/>
      <c r="AE70" s="132"/>
      <c r="AF70" s="133"/>
      <c r="AG70" s="183"/>
      <c r="AH70" s="119"/>
    </row>
    <row r="71" spans="1:34" ht="15" customHeight="1" x14ac:dyDescent="0.2">
      <c r="A71" s="77"/>
      <c r="B71" s="78"/>
      <c r="C71" s="78"/>
      <c r="D71" s="157"/>
      <c r="E71" s="157"/>
      <c r="F71" s="157"/>
      <c r="G71" s="157"/>
      <c r="H71" s="114"/>
      <c r="I71" s="114"/>
      <c r="J71" s="114"/>
      <c r="K71" s="77"/>
      <c r="L71" s="78"/>
      <c r="M71" s="78"/>
      <c r="N71" s="78"/>
      <c r="O71" s="78"/>
      <c r="P71" s="177"/>
      <c r="Q71" s="178"/>
      <c r="R71" s="178"/>
      <c r="S71" s="178"/>
      <c r="T71" s="178"/>
      <c r="U71" s="77"/>
      <c r="V71" s="78"/>
      <c r="W71" s="79"/>
      <c r="X71" s="77"/>
      <c r="Y71" s="78"/>
      <c r="Z71" s="157"/>
      <c r="AA71" s="157"/>
      <c r="AB71" s="157"/>
      <c r="AC71" s="157"/>
      <c r="AD71" s="114"/>
      <c r="AE71" s="80"/>
      <c r="AF71" s="77"/>
      <c r="AG71" s="79"/>
    </row>
  </sheetData>
  <mergeCells count="21">
    <mergeCell ref="Z69:AC69"/>
    <mergeCell ref="Z71:AC71"/>
    <mergeCell ref="D71:G71"/>
    <mergeCell ref="AE5:AG6"/>
    <mergeCell ref="AB5:AB7"/>
    <mergeCell ref="D69:G69"/>
    <mergeCell ref="K5:O5"/>
    <mergeCell ref="AP8:AQ8"/>
    <mergeCell ref="A4:J4"/>
    <mergeCell ref="K4:U4"/>
    <mergeCell ref="V4:AG4"/>
    <mergeCell ref="A5:J5"/>
    <mergeCell ref="P5:T5"/>
    <mergeCell ref="V5:V7"/>
    <mergeCell ref="W5:W7"/>
    <mergeCell ref="X5:X7"/>
    <mergeCell ref="Y5:Y7"/>
    <mergeCell ref="A6:G8"/>
    <mergeCell ref="Z5:Z7"/>
    <mergeCell ref="AA5:AA7"/>
    <mergeCell ref="AC5:AC7"/>
  </mergeCells>
  <phoneticPr fontId="2" type="noConversion"/>
  <conditionalFormatting sqref="AI9:AI62">
    <cfRule type="containsText" dxfId="1" priority="1" operator="containsText" text="rever">
      <formula>NOT(ISERROR(SEARCH("rever",AI9)))</formula>
    </cfRule>
  </conditionalFormatting>
  <conditionalFormatting sqref="AX1:AX3">
    <cfRule type="containsText" dxfId="0" priority="10" operator="containsText" text="REVER">
      <formula>NOT(ISERROR(SEARCH("REVER",AX1)))</formula>
    </cfRule>
  </conditionalFormatting>
  <printOptions horizontalCentered="1"/>
  <pageMargins left="0.19685039370078741" right="0.19685039370078741" top="0.19685039370078741" bottom="0.98425196850393704" header="0.19685039370078741" footer="0.19685039370078741"/>
  <pageSetup paperSize="9" scale="53" fitToHeight="0" orientation="landscape" r:id="rId1"/>
  <headerFooter alignWithMargins="0">
    <oddFooter>&amp;RPlanilha de dimensinamento hidráulico -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99"/>
  <sheetViews>
    <sheetView view="pageBreakPreview" zoomScale="80" zoomScaleNormal="100" zoomScaleSheetLayoutView="80" workbookViewId="0">
      <pane ySplit="5" topLeftCell="A51" activePane="bottomLeft" state="frozen"/>
      <selection pane="bottomLeft" activeCell="C92" sqref="C92"/>
    </sheetView>
  </sheetViews>
  <sheetFormatPr defaultRowHeight="12.75" x14ac:dyDescent="0.2"/>
  <cols>
    <col min="1" max="1" width="11.42578125" style="5" customWidth="1"/>
    <col min="2" max="2" width="14.28515625" style="5" customWidth="1"/>
    <col min="3" max="4" width="11.42578125" style="5" customWidth="1"/>
    <col min="5" max="7" width="8.5703125" style="5" customWidth="1"/>
    <col min="8" max="9" width="6.140625" style="5" customWidth="1"/>
    <col min="10" max="10" width="9.140625" style="5"/>
    <col min="11" max="11" width="12.140625" style="5" customWidth="1"/>
    <col min="12" max="16384" width="9.140625" style="5"/>
  </cols>
  <sheetData>
    <row r="1" spans="1:11" ht="36" customHeight="1" x14ac:dyDescent="0.2">
      <c r="A1" s="159" t="s">
        <v>127</v>
      </c>
      <c r="B1" s="159"/>
      <c r="C1" s="159"/>
      <c r="D1" s="159"/>
      <c r="E1" s="159"/>
      <c r="F1" s="159"/>
      <c r="G1" s="159"/>
      <c r="H1" s="159"/>
      <c r="I1" s="159"/>
    </row>
    <row r="3" spans="1:11" ht="18.75" customHeight="1" x14ac:dyDescent="0.2">
      <c r="A3" s="168" t="s">
        <v>43</v>
      </c>
      <c r="B3" s="167" t="s">
        <v>126</v>
      </c>
      <c r="C3" s="167"/>
      <c r="D3" s="167"/>
      <c r="E3" s="164" t="s">
        <v>95</v>
      </c>
      <c r="F3" s="165"/>
      <c r="G3" s="165"/>
      <c r="H3" s="165"/>
      <c r="I3" s="166"/>
    </row>
    <row r="4" spans="1:11" ht="30" customHeight="1" x14ac:dyDescent="0.2">
      <c r="A4" s="168"/>
      <c r="B4" s="168" t="s">
        <v>129</v>
      </c>
      <c r="C4" s="1" t="s">
        <v>109</v>
      </c>
      <c r="D4" s="168" t="s">
        <v>96</v>
      </c>
      <c r="E4" s="1" t="s">
        <v>34</v>
      </c>
      <c r="F4" s="1" t="s">
        <v>35</v>
      </c>
      <c r="G4" s="1" t="s">
        <v>36</v>
      </c>
      <c r="H4" s="160" t="s">
        <v>128</v>
      </c>
      <c r="I4" s="161"/>
    </row>
    <row r="5" spans="1:11" ht="15" customHeight="1" x14ac:dyDescent="0.2">
      <c r="A5" s="168"/>
      <c r="B5" s="168"/>
      <c r="C5" s="2" t="s">
        <v>93</v>
      </c>
      <c r="D5" s="168"/>
      <c r="E5" s="2" t="s">
        <v>110</v>
      </c>
      <c r="F5" s="2" t="s">
        <v>111</v>
      </c>
      <c r="G5" s="2" t="s">
        <v>112</v>
      </c>
      <c r="H5" s="162"/>
      <c r="I5" s="163"/>
    </row>
    <row r="6" spans="1:11" ht="18.75" customHeight="1" x14ac:dyDescent="0.2">
      <c r="A6" s="7" t="s">
        <v>49</v>
      </c>
      <c r="B6" s="7" t="s">
        <v>97</v>
      </c>
      <c r="C6" s="8">
        <v>0.03</v>
      </c>
      <c r="D6" s="8" t="s">
        <v>99</v>
      </c>
      <c r="E6" s="4">
        <v>1.6</v>
      </c>
      <c r="F6" s="4">
        <v>1</v>
      </c>
      <c r="G6" s="4">
        <v>0.3</v>
      </c>
      <c r="H6" s="4">
        <f t="shared" ref="H6:H21" si="0">IF(D6="Trapezoidal",((E6-F6)/2)/G6,IF(D6="Triangular",E6/G6,0))</f>
        <v>1.0000000000000002</v>
      </c>
      <c r="I6" s="4">
        <f t="shared" ref="I6:I21" si="1">IF(D6="Trapezoidal",((E6-F6)/2)/G6,IF(D6="Triangular",F6/G6,0))</f>
        <v>1.0000000000000002</v>
      </c>
      <c r="K6" s="6" t="s">
        <v>134</v>
      </c>
    </row>
    <row r="7" spans="1:11" ht="18.75" customHeight="1" x14ac:dyDescent="0.2">
      <c r="A7" s="7" t="s">
        <v>50</v>
      </c>
      <c r="B7" s="7" t="s">
        <v>97</v>
      </c>
      <c r="C7" s="8">
        <v>0.03</v>
      </c>
      <c r="D7" s="8" t="s">
        <v>99</v>
      </c>
      <c r="E7" s="4">
        <v>1.2</v>
      </c>
      <c r="F7" s="4">
        <v>0.6</v>
      </c>
      <c r="G7" s="4">
        <v>0.3</v>
      </c>
      <c r="H7" s="4">
        <f t="shared" si="0"/>
        <v>1</v>
      </c>
      <c r="I7" s="4">
        <f t="shared" si="1"/>
        <v>1</v>
      </c>
      <c r="K7" s="6" t="s">
        <v>135</v>
      </c>
    </row>
    <row r="8" spans="1:11" ht="18.75" customHeight="1" x14ac:dyDescent="0.2">
      <c r="A8" s="7" t="s">
        <v>51</v>
      </c>
      <c r="B8" s="7" t="s">
        <v>98</v>
      </c>
      <c r="C8" s="7">
        <v>1.4999999999999999E-2</v>
      </c>
      <c r="D8" s="8" t="s">
        <v>99</v>
      </c>
      <c r="E8" s="4">
        <v>1.6</v>
      </c>
      <c r="F8" s="4">
        <v>1</v>
      </c>
      <c r="G8" s="4">
        <v>0.3</v>
      </c>
      <c r="H8" s="4">
        <f t="shared" si="0"/>
        <v>1.0000000000000002</v>
      </c>
      <c r="I8" s="4">
        <f t="shared" si="1"/>
        <v>1.0000000000000002</v>
      </c>
      <c r="K8" s="6" t="s">
        <v>134</v>
      </c>
    </row>
    <row r="9" spans="1:11" ht="18.75" customHeight="1" x14ac:dyDescent="0.2">
      <c r="A9" s="7" t="s">
        <v>52</v>
      </c>
      <c r="B9" s="7" t="s">
        <v>98</v>
      </c>
      <c r="C9" s="7">
        <v>1.4999999999999999E-2</v>
      </c>
      <c r="D9" s="8" t="s">
        <v>99</v>
      </c>
      <c r="E9" s="4">
        <v>1.2</v>
      </c>
      <c r="F9" s="4">
        <v>0.6</v>
      </c>
      <c r="G9" s="4">
        <v>0.3</v>
      </c>
      <c r="H9" s="4">
        <f t="shared" si="0"/>
        <v>1</v>
      </c>
      <c r="I9" s="4">
        <f t="shared" si="1"/>
        <v>1</v>
      </c>
      <c r="K9" s="6" t="s">
        <v>135</v>
      </c>
    </row>
    <row r="10" spans="1:11" ht="18.75" customHeight="1" x14ac:dyDescent="0.2">
      <c r="A10" s="7" t="s">
        <v>53</v>
      </c>
      <c r="B10" s="7" t="s">
        <v>97</v>
      </c>
      <c r="C10" s="8">
        <v>0.03</v>
      </c>
      <c r="D10" s="8" t="s">
        <v>99</v>
      </c>
      <c r="E10" s="4">
        <v>1.6</v>
      </c>
      <c r="F10" s="4">
        <v>1</v>
      </c>
      <c r="G10" s="4">
        <v>0.3</v>
      </c>
      <c r="H10" s="4">
        <f t="shared" si="0"/>
        <v>1.0000000000000002</v>
      </c>
      <c r="I10" s="4">
        <f t="shared" si="1"/>
        <v>1.0000000000000002</v>
      </c>
      <c r="K10" s="6" t="s">
        <v>134</v>
      </c>
    </row>
    <row r="11" spans="1:11" ht="18.75" customHeight="1" x14ac:dyDescent="0.2">
      <c r="A11" s="7" t="s">
        <v>54</v>
      </c>
      <c r="B11" s="7" t="s">
        <v>97</v>
      </c>
      <c r="C11" s="8">
        <v>0.03</v>
      </c>
      <c r="D11" s="8" t="s">
        <v>99</v>
      </c>
      <c r="E11" s="4">
        <v>1.2</v>
      </c>
      <c r="F11" s="4">
        <v>0.6</v>
      </c>
      <c r="G11" s="4">
        <v>0.3</v>
      </c>
      <c r="H11" s="4">
        <f t="shared" si="0"/>
        <v>1</v>
      </c>
      <c r="I11" s="4">
        <f t="shared" si="1"/>
        <v>1</v>
      </c>
      <c r="K11" s="6" t="s">
        <v>135</v>
      </c>
    </row>
    <row r="12" spans="1:11" ht="18.75" customHeight="1" x14ac:dyDescent="0.2">
      <c r="A12" s="7" t="s">
        <v>55</v>
      </c>
      <c r="B12" s="7" t="s">
        <v>98</v>
      </c>
      <c r="C12" s="7">
        <v>1.4999999999999999E-2</v>
      </c>
      <c r="D12" s="8" t="s">
        <v>99</v>
      </c>
      <c r="E12" s="4">
        <v>1.6</v>
      </c>
      <c r="F12" s="4">
        <v>1</v>
      </c>
      <c r="G12" s="4">
        <v>0.3</v>
      </c>
      <c r="H12" s="4">
        <f t="shared" si="0"/>
        <v>1.0000000000000002</v>
      </c>
      <c r="I12" s="4">
        <f t="shared" si="1"/>
        <v>1.0000000000000002</v>
      </c>
      <c r="K12" s="6" t="s">
        <v>134</v>
      </c>
    </row>
    <row r="13" spans="1:11" ht="18.75" customHeight="1" x14ac:dyDescent="0.2">
      <c r="A13" s="7" t="s">
        <v>56</v>
      </c>
      <c r="B13" s="7" t="s">
        <v>98</v>
      </c>
      <c r="C13" s="7">
        <v>1.4999999999999999E-2</v>
      </c>
      <c r="D13" s="8" t="s">
        <v>99</v>
      </c>
      <c r="E13" s="4">
        <v>1.2</v>
      </c>
      <c r="F13" s="4">
        <v>0.6</v>
      </c>
      <c r="G13" s="4">
        <v>0.3</v>
      </c>
      <c r="H13" s="4">
        <f t="shared" si="0"/>
        <v>1</v>
      </c>
      <c r="I13" s="4">
        <f t="shared" si="1"/>
        <v>1</v>
      </c>
      <c r="K13" s="6" t="s">
        <v>135</v>
      </c>
    </row>
    <row r="14" spans="1:11" ht="18.75" customHeight="1" x14ac:dyDescent="0.2">
      <c r="A14" s="7" t="s">
        <v>191</v>
      </c>
      <c r="B14" s="7" t="s">
        <v>97</v>
      </c>
      <c r="C14" s="8">
        <v>0.03</v>
      </c>
      <c r="D14" s="8" t="s">
        <v>99</v>
      </c>
      <c r="E14" s="4">
        <v>2</v>
      </c>
      <c r="F14" s="4">
        <v>1</v>
      </c>
      <c r="G14" s="4">
        <v>0.5</v>
      </c>
      <c r="H14" s="4">
        <f t="shared" si="0"/>
        <v>1</v>
      </c>
      <c r="I14" s="4">
        <f t="shared" si="1"/>
        <v>1</v>
      </c>
      <c r="K14" s="6" t="s">
        <v>193</v>
      </c>
    </row>
    <row r="15" spans="1:11" ht="18.75" customHeight="1" x14ac:dyDescent="0.2">
      <c r="A15" s="7" t="s">
        <v>192</v>
      </c>
      <c r="B15" s="7" t="s">
        <v>97</v>
      </c>
      <c r="C15" s="8">
        <v>0.03</v>
      </c>
      <c r="D15" s="8" t="s">
        <v>99</v>
      </c>
      <c r="E15" s="4">
        <v>3</v>
      </c>
      <c r="F15" s="4">
        <v>1</v>
      </c>
      <c r="G15" s="4">
        <v>1</v>
      </c>
      <c r="H15" s="4">
        <f t="shared" si="0"/>
        <v>1</v>
      </c>
      <c r="I15" s="4">
        <f t="shared" si="1"/>
        <v>1</v>
      </c>
      <c r="K15" s="6" t="s">
        <v>168</v>
      </c>
    </row>
    <row r="16" spans="1:11" ht="18.75" customHeight="1" x14ac:dyDescent="0.2">
      <c r="A16" s="7" t="s">
        <v>194</v>
      </c>
      <c r="B16" s="7" t="s">
        <v>97</v>
      </c>
      <c r="C16" s="8">
        <v>0.03</v>
      </c>
      <c r="D16" s="8" t="s">
        <v>99</v>
      </c>
      <c r="E16" s="4">
        <v>3.5</v>
      </c>
      <c r="F16" s="4">
        <v>1.5</v>
      </c>
      <c r="G16" s="4">
        <v>1</v>
      </c>
      <c r="H16" s="4">
        <f t="shared" si="0"/>
        <v>1</v>
      </c>
      <c r="I16" s="4">
        <f t="shared" si="1"/>
        <v>1</v>
      </c>
      <c r="K16" s="6" t="s">
        <v>195</v>
      </c>
    </row>
    <row r="17" spans="1:11" ht="18.75" customHeight="1" x14ac:dyDescent="0.2">
      <c r="A17" s="7" t="s">
        <v>196</v>
      </c>
      <c r="B17" s="7" t="s">
        <v>97</v>
      </c>
      <c r="C17" s="8">
        <v>0.03</v>
      </c>
      <c r="D17" s="8" t="s">
        <v>99</v>
      </c>
      <c r="E17" s="4">
        <v>3.9</v>
      </c>
      <c r="F17" s="4">
        <v>1.5</v>
      </c>
      <c r="G17" s="4">
        <v>1.2</v>
      </c>
      <c r="H17" s="4">
        <f t="shared" si="0"/>
        <v>1</v>
      </c>
      <c r="I17" s="4">
        <f t="shared" si="1"/>
        <v>1</v>
      </c>
      <c r="K17" s="6" t="s">
        <v>174</v>
      </c>
    </row>
    <row r="18" spans="1:11" ht="18.75" customHeight="1" x14ac:dyDescent="0.2">
      <c r="A18" s="7" t="s">
        <v>197</v>
      </c>
      <c r="B18" s="7" t="s">
        <v>97</v>
      </c>
      <c r="C18" s="8">
        <v>0.03</v>
      </c>
      <c r="D18" s="8" t="s">
        <v>99</v>
      </c>
      <c r="E18" s="4">
        <v>4.9000000000000004</v>
      </c>
      <c r="F18" s="4">
        <v>2.5</v>
      </c>
      <c r="G18" s="4">
        <v>1.2</v>
      </c>
      <c r="H18" s="4">
        <f t="shared" si="0"/>
        <v>1.0000000000000002</v>
      </c>
      <c r="I18" s="4">
        <f t="shared" si="1"/>
        <v>1.0000000000000002</v>
      </c>
      <c r="K18" s="6" t="s">
        <v>205</v>
      </c>
    </row>
    <row r="19" spans="1:11" ht="18.75" customHeight="1" x14ac:dyDescent="0.2">
      <c r="A19" s="7" t="s">
        <v>198</v>
      </c>
      <c r="B19" s="7" t="s">
        <v>98</v>
      </c>
      <c r="C19" s="8">
        <v>1.4999999999999999E-2</v>
      </c>
      <c r="D19" s="8" t="s">
        <v>99</v>
      </c>
      <c r="E19" s="4">
        <v>2.5</v>
      </c>
      <c r="F19" s="4">
        <v>1.5</v>
      </c>
      <c r="G19" s="4">
        <v>0.5</v>
      </c>
      <c r="H19" s="4">
        <f t="shared" si="0"/>
        <v>1</v>
      </c>
      <c r="I19" s="4">
        <f t="shared" si="1"/>
        <v>1</v>
      </c>
      <c r="K19" s="6" t="s">
        <v>208</v>
      </c>
    </row>
    <row r="20" spans="1:11" ht="18.75" customHeight="1" x14ac:dyDescent="0.2">
      <c r="A20" s="12" t="s">
        <v>57</v>
      </c>
      <c r="B20" s="12" t="s">
        <v>98</v>
      </c>
      <c r="C20" s="12">
        <v>1.4999999999999999E-2</v>
      </c>
      <c r="D20" s="11" t="s">
        <v>100</v>
      </c>
      <c r="E20" s="10">
        <v>1</v>
      </c>
      <c r="F20" s="10">
        <v>0.25</v>
      </c>
      <c r="G20" s="10">
        <v>0.25</v>
      </c>
      <c r="H20" s="10">
        <f t="shared" si="0"/>
        <v>4</v>
      </c>
      <c r="I20" s="10">
        <f t="shared" si="1"/>
        <v>1</v>
      </c>
      <c r="J20" s="13"/>
      <c r="K20" s="14" t="s">
        <v>133</v>
      </c>
    </row>
    <row r="21" spans="1:11" ht="18.75" customHeight="1" x14ac:dyDescent="0.2">
      <c r="A21" s="15" t="s">
        <v>58</v>
      </c>
      <c r="B21" s="12" t="s">
        <v>98</v>
      </c>
      <c r="C21" s="12">
        <v>1.4999999999999999E-2</v>
      </c>
      <c r="D21" s="11" t="s">
        <v>100</v>
      </c>
      <c r="E21" s="10">
        <v>0.7</v>
      </c>
      <c r="F21" s="10">
        <v>0.3</v>
      </c>
      <c r="G21" s="10">
        <v>0.3</v>
      </c>
      <c r="H21" s="10">
        <f t="shared" si="0"/>
        <v>2.3333333333333335</v>
      </c>
      <c r="I21" s="10">
        <f t="shared" si="1"/>
        <v>1</v>
      </c>
      <c r="J21" s="13"/>
      <c r="K21" s="14" t="s">
        <v>130</v>
      </c>
    </row>
    <row r="22" spans="1:11" ht="18.75" customHeight="1" x14ac:dyDescent="0.2">
      <c r="A22" s="15" t="s">
        <v>59</v>
      </c>
      <c r="B22" s="12" t="s">
        <v>98</v>
      </c>
      <c r="C22" s="12">
        <v>1.4999999999999999E-2</v>
      </c>
      <c r="D22" s="11" t="s">
        <v>100</v>
      </c>
      <c r="E22" s="10">
        <v>0.5</v>
      </c>
      <c r="F22" s="10">
        <v>0.3</v>
      </c>
      <c r="G22" s="10">
        <v>0.3</v>
      </c>
      <c r="H22" s="10">
        <f t="shared" ref="H22:H89" si="2">IF(D22="Trapezoidal",((E22-F22)/2)/G22,IF(D22="Triangular",E22/G22,0))</f>
        <v>1.6666666666666667</v>
      </c>
      <c r="I22" s="10">
        <f t="shared" ref="I22:I89" si="3">IF(D22="Trapezoidal",((E22-F22)/2)/G22,IF(D22="Triangular",F22/G22,0))</f>
        <v>1</v>
      </c>
      <c r="J22" s="13"/>
      <c r="K22" s="14" t="s">
        <v>131</v>
      </c>
    </row>
    <row r="23" spans="1:11" ht="18.75" customHeight="1" x14ac:dyDescent="0.2">
      <c r="A23" s="12" t="s">
        <v>60</v>
      </c>
      <c r="B23" s="12" t="s">
        <v>98</v>
      </c>
      <c r="C23" s="12">
        <v>1.4999999999999999E-2</v>
      </c>
      <c r="D23" s="11" t="s">
        <v>100</v>
      </c>
      <c r="E23" s="10">
        <v>0.5</v>
      </c>
      <c r="F23" s="10">
        <v>0.2</v>
      </c>
      <c r="G23" s="10">
        <v>0.2</v>
      </c>
      <c r="H23" s="10">
        <f t="shared" si="2"/>
        <v>2.5</v>
      </c>
      <c r="I23" s="10">
        <f t="shared" si="3"/>
        <v>1</v>
      </c>
      <c r="J23" s="13"/>
      <c r="K23" s="14" t="s">
        <v>132</v>
      </c>
    </row>
    <row r="24" spans="1:11" ht="18.75" customHeight="1" x14ac:dyDescent="0.2">
      <c r="A24" s="12" t="s">
        <v>61</v>
      </c>
      <c r="B24" s="12" t="s">
        <v>98</v>
      </c>
      <c r="C24" s="12">
        <v>1.4999999999999999E-2</v>
      </c>
      <c r="D24" s="11" t="s">
        <v>100</v>
      </c>
      <c r="E24" s="10">
        <v>1</v>
      </c>
      <c r="F24" s="10">
        <v>0.08</v>
      </c>
      <c r="G24" s="10">
        <v>0.25</v>
      </c>
      <c r="H24" s="10">
        <f t="shared" si="2"/>
        <v>4</v>
      </c>
      <c r="I24" s="10">
        <f t="shared" si="3"/>
        <v>0.32</v>
      </c>
      <c r="J24" s="13"/>
      <c r="K24" s="14" t="s">
        <v>133</v>
      </c>
    </row>
    <row r="25" spans="1:11" ht="18.75" customHeight="1" x14ac:dyDescent="0.2">
      <c r="A25" s="12" t="s">
        <v>62</v>
      </c>
      <c r="B25" s="12" t="s">
        <v>98</v>
      </c>
      <c r="C25" s="12">
        <v>1.4999999999999999E-2</v>
      </c>
      <c r="D25" s="11" t="s">
        <v>100</v>
      </c>
      <c r="E25" s="10">
        <v>0.7</v>
      </c>
      <c r="F25" s="10">
        <v>0.08</v>
      </c>
      <c r="G25" s="10">
        <v>0.3</v>
      </c>
      <c r="H25" s="10">
        <f t="shared" si="2"/>
        <v>2.3333333333333335</v>
      </c>
      <c r="I25" s="10">
        <f t="shared" si="3"/>
        <v>0.26666666666666666</v>
      </c>
      <c r="J25" s="13"/>
      <c r="K25" s="14" t="s">
        <v>130</v>
      </c>
    </row>
    <row r="26" spans="1:11" ht="18.75" customHeight="1" x14ac:dyDescent="0.2">
      <c r="A26" s="12" t="s">
        <v>63</v>
      </c>
      <c r="B26" s="12" t="s">
        <v>98</v>
      </c>
      <c r="C26" s="12">
        <v>1.4999999999999999E-2</v>
      </c>
      <c r="D26" s="11" t="s">
        <v>100</v>
      </c>
      <c r="E26" s="10">
        <v>0.5</v>
      </c>
      <c r="F26" s="10">
        <v>0.08</v>
      </c>
      <c r="G26" s="10">
        <v>0.3</v>
      </c>
      <c r="H26" s="10">
        <f t="shared" si="2"/>
        <v>1.6666666666666667</v>
      </c>
      <c r="I26" s="10">
        <f t="shared" si="3"/>
        <v>0.26666666666666666</v>
      </c>
      <c r="J26" s="13"/>
      <c r="K26" s="14" t="s">
        <v>131</v>
      </c>
    </row>
    <row r="27" spans="1:11" ht="18.75" customHeight="1" x14ac:dyDescent="0.2">
      <c r="A27" s="12" t="s">
        <v>64</v>
      </c>
      <c r="B27" s="12" t="s">
        <v>98</v>
      </c>
      <c r="C27" s="12">
        <v>1.4999999999999999E-2</v>
      </c>
      <c r="D27" s="11" t="s">
        <v>100</v>
      </c>
      <c r="E27" s="10">
        <v>0.5</v>
      </c>
      <c r="F27" s="10">
        <v>0.05</v>
      </c>
      <c r="G27" s="10">
        <v>0.2</v>
      </c>
      <c r="H27" s="10">
        <f t="shared" si="2"/>
        <v>2.5</v>
      </c>
      <c r="I27" s="10">
        <f t="shared" si="3"/>
        <v>0.25</v>
      </c>
      <c r="J27" s="13"/>
      <c r="K27" s="14" t="s">
        <v>132</v>
      </c>
    </row>
    <row r="28" spans="1:11" ht="18.75" customHeight="1" x14ac:dyDescent="0.2">
      <c r="A28" s="7" t="s">
        <v>65</v>
      </c>
      <c r="B28" s="7" t="s">
        <v>97</v>
      </c>
      <c r="C28" s="8">
        <v>0.03</v>
      </c>
      <c r="D28" s="8" t="s">
        <v>100</v>
      </c>
      <c r="E28" s="4">
        <v>1</v>
      </c>
      <c r="F28" s="4">
        <v>0.25</v>
      </c>
      <c r="G28" s="4">
        <v>0.25</v>
      </c>
      <c r="H28" s="4">
        <f t="shared" si="2"/>
        <v>4</v>
      </c>
      <c r="I28" s="4">
        <f t="shared" si="3"/>
        <v>1</v>
      </c>
      <c r="K28" s="6" t="s">
        <v>133</v>
      </c>
    </row>
    <row r="29" spans="1:11" ht="18.75" customHeight="1" x14ac:dyDescent="0.2">
      <c r="A29" s="7" t="s">
        <v>66</v>
      </c>
      <c r="B29" s="7" t="s">
        <v>97</v>
      </c>
      <c r="C29" s="8">
        <v>0.03</v>
      </c>
      <c r="D29" s="8" t="s">
        <v>100</v>
      </c>
      <c r="E29" s="4">
        <v>0.7</v>
      </c>
      <c r="F29" s="4">
        <v>0.3</v>
      </c>
      <c r="G29" s="4">
        <v>0.3</v>
      </c>
      <c r="H29" s="4">
        <f t="shared" si="2"/>
        <v>2.3333333333333335</v>
      </c>
      <c r="I29" s="4">
        <f t="shared" si="3"/>
        <v>1</v>
      </c>
      <c r="K29" s="6" t="s">
        <v>130</v>
      </c>
    </row>
    <row r="30" spans="1:11" ht="18.75" customHeight="1" x14ac:dyDescent="0.2">
      <c r="A30" s="7" t="s">
        <v>67</v>
      </c>
      <c r="B30" s="7" t="s">
        <v>97</v>
      </c>
      <c r="C30" s="8">
        <v>0.03</v>
      </c>
      <c r="D30" s="8" t="s">
        <v>100</v>
      </c>
      <c r="E30" s="4">
        <v>0.5</v>
      </c>
      <c r="F30" s="4">
        <v>0.3</v>
      </c>
      <c r="G30" s="4">
        <v>0.3</v>
      </c>
      <c r="H30" s="4">
        <f t="shared" si="2"/>
        <v>1.6666666666666667</v>
      </c>
      <c r="I30" s="4">
        <f t="shared" si="3"/>
        <v>1</v>
      </c>
      <c r="K30" s="6" t="s">
        <v>131</v>
      </c>
    </row>
    <row r="31" spans="1:11" ht="18.75" customHeight="1" x14ac:dyDescent="0.2">
      <c r="A31" s="7" t="s">
        <v>68</v>
      </c>
      <c r="B31" s="7" t="s">
        <v>97</v>
      </c>
      <c r="C31" s="8">
        <v>0.03</v>
      </c>
      <c r="D31" s="8" t="s">
        <v>100</v>
      </c>
      <c r="E31" s="4">
        <v>0.5</v>
      </c>
      <c r="F31" s="4">
        <v>0.2</v>
      </c>
      <c r="G31" s="4">
        <v>0.2</v>
      </c>
      <c r="H31" s="4">
        <f t="shared" si="2"/>
        <v>2.5</v>
      </c>
      <c r="I31" s="4">
        <f t="shared" si="3"/>
        <v>1</v>
      </c>
      <c r="K31" s="6" t="s">
        <v>132</v>
      </c>
    </row>
    <row r="32" spans="1:11" ht="18.75" customHeight="1" x14ac:dyDescent="0.2">
      <c r="A32" s="7" t="s">
        <v>212</v>
      </c>
      <c r="B32" s="7" t="s">
        <v>97</v>
      </c>
      <c r="C32" s="8">
        <v>0.03</v>
      </c>
      <c r="D32" s="8" t="s">
        <v>100</v>
      </c>
      <c r="E32" s="4">
        <v>0.5</v>
      </c>
      <c r="F32" s="4">
        <v>0.5</v>
      </c>
      <c r="G32" s="4">
        <v>0.25</v>
      </c>
      <c r="H32" s="4">
        <f t="shared" si="2"/>
        <v>2</v>
      </c>
      <c r="I32" s="4">
        <f t="shared" si="3"/>
        <v>2</v>
      </c>
      <c r="K32" s="6" t="s">
        <v>133</v>
      </c>
    </row>
    <row r="33" spans="1:11" ht="18.75" customHeight="1" x14ac:dyDescent="0.2">
      <c r="A33" s="7" t="s">
        <v>213</v>
      </c>
      <c r="B33" s="7" t="s">
        <v>97</v>
      </c>
      <c r="C33" s="8">
        <v>0.03</v>
      </c>
      <c r="D33" s="8" t="s">
        <v>100</v>
      </c>
      <c r="E33" s="4">
        <v>0.7</v>
      </c>
      <c r="F33" s="4">
        <v>0.7</v>
      </c>
      <c r="G33" s="4">
        <v>0.35</v>
      </c>
      <c r="H33" s="4">
        <f>IF(D33="Trapezoidal",((E33-F33)/2)/G33,IF(D33="Triangular",E33/G33,0))</f>
        <v>2</v>
      </c>
      <c r="I33" s="4">
        <f>IF(D33="Trapezoidal",((E33-F33)/2)/G33,IF(D33="Triangular",F33/G33,0))</f>
        <v>2</v>
      </c>
      <c r="K33" s="6" t="s">
        <v>138</v>
      </c>
    </row>
    <row r="34" spans="1:11" ht="18.75" customHeight="1" x14ac:dyDescent="0.2">
      <c r="A34" s="7" t="s">
        <v>69</v>
      </c>
      <c r="B34" s="7" t="s">
        <v>98</v>
      </c>
      <c r="C34" s="7">
        <v>1.4999999999999999E-2</v>
      </c>
      <c r="D34" s="8" t="s">
        <v>99</v>
      </c>
      <c r="E34" s="4">
        <v>0.6</v>
      </c>
      <c r="F34" s="4">
        <v>0.2</v>
      </c>
      <c r="G34" s="4">
        <v>0.2</v>
      </c>
      <c r="H34" s="4">
        <f t="shared" si="2"/>
        <v>0.99999999999999989</v>
      </c>
      <c r="I34" s="4">
        <f t="shared" si="3"/>
        <v>0.99999999999999989</v>
      </c>
      <c r="K34" s="6" t="s">
        <v>136</v>
      </c>
    </row>
    <row r="35" spans="1:11" ht="18.75" customHeight="1" x14ac:dyDescent="0.2">
      <c r="A35" s="7" t="s">
        <v>70</v>
      </c>
      <c r="B35" s="7" t="s">
        <v>98</v>
      </c>
      <c r="C35" s="7">
        <v>1.4999999999999999E-2</v>
      </c>
      <c r="D35" s="8" t="s">
        <v>99</v>
      </c>
      <c r="E35" s="4">
        <v>0.6</v>
      </c>
      <c r="F35" s="4">
        <v>0.2</v>
      </c>
      <c r="G35" s="4">
        <v>0.2</v>
      </c>
      <c r="H35" s="4">
        <f t="shared" si="2"/>
        <v>0.99999999999999989</v>
      </c>
      <c r="I35" s="4">
        <f t="shared" si="3"/>
        <v>0.99999999999999989</v>
      </c>
      <c r="K35" s="6" t="s">
        <v>136</v>
      </c>
    </row>
    <row r="36" spans="1:11" ht="18.75" customHeight="1" x14ac:dyDescent="0.2">
      <c r="A36" s="7" t="s">
        <v>71</v>
      </c>
      <c r="B36" s="7" t="s">
        <v>97</v>
      </c>
      <c r="C36" s="8">
        <v>0.03</v>
      </c>
      <c r="D36" s="8" t="s">
        <v>99</v>
      </c>
      <c r="E36" s="4">
        <v>0.9</v>
      </c>
      <c r="F36" s="4">
        <v>0.3</v>
      </c>
      <c r="G36" s="4">
        <v>0.3</v>
      </c>
      <c r="H36" s="4">
        <f t="shared" si="2"/>
        <v>1.0000000000000002</v>
      </c>
      <c r="I36" s="4">
        <f t="shared" si="3"/>
        <v>1.0000000000000002</v>
      </c>
      <c r="K36" s="6" t="s">
        <v>137</v>
      </c>
    </row>
    <row r="37" spans="1:11" ht="18.75" customHeight="1" x14ac:dyDescent="0.2">
      <c r="A37" s="7" t="s">
        <v>72</v>
      </c>
      <c r="B37" s="7" t="s">
        <v>97</v>
      </c>
      <c r="C37" s="8">
        <v>0.03</v>
      </c>
      <c r="D37" s="8" t="s">
        <v>99</v>
      </c>
      <c r="E37" s="4">
        <v>0.6</v>
      </c>
      <c r="F37" s="4">
        <v>0.2</v>
      </c>
      <c r="G37" s="4">
        <v>0.2</v>
      </c>
      <c r="H37" s="4">
        <f t="shared" si="2"/>
        <v>0.99999999999999989</v>
      </c>
      <c r="I37" s="4">
        <f t="shared" si="3"/>
        <v>0.99999999999999989</v>
      </c>
      <c r="K37" s="6" t="s">
        <v>136</v>
      </c>
    </row>
    <row r="38" spans="1:11" ht="18.75" customHeight="1" x14ac:dyDescent="0.2">
      <c r="A38" s="7" t="s">
        <v>73</v>
      </c>
      <c r="B38" s="7" t="s">
        <v>98</v>
      </c>
      <c r="C38" s="7">
        <v>1.4999999999999999E-2</v>
      </c>
      <c r="D38" s="8" t="s">
        <v>100</v>
      </c>
      <c r="E38" s="4">
        <v>0.5</v>
      </c>
      <c r="F38" s="4">
        <v>0.5</v>
      </c>
      <c r="G38" s="4">
        <v>0.25</v>
      </c>
      <c r="H38" s="4">
        <f t="shared" si="2"/>
        <v>2</v>
      </c>
      <c r="I38" s="4">
        <f t="shared" si="3"/>
        <v>2</v>
      </c>
      <c r="K38" s="6" t="s">
        <v>133</v>
      </c>
    </row>
    <row r="39" spans="1:11" ht="18.75" customHeight="1" x14ac:dyDescent="0.2">
      <c r="A39" s="7" t="s">
        <v>74</v>
      </c>
      <c r="B39" s="7" t="s">
        <v>98</v>
      </c>
      <c r="C39" s="7">
        <v>1.4999999999999999E-2</v>
      </c>
      <c r="D39" s="8" t="s">
        <v>100</v>
      </c>
      <c r="E39" s="4">
        <v>0.7</v>
      </c>
      <c r="F39" s="4">
        <v>0.7</v>
      </c>
      <c r="G39" s="4">
        <v>0.35</v>
      </c>
      <c r="H39" s="4">
        <f t="shared" si="2"/>
        <v>2</v>
      </c>
      <c r="I39" s="4">
        <f t="shared" si="3"/>
        <v>2</v>
      </c>
      <c r="K39" s="6" t="s">
        <v>138</v>
      </c>
    </row>
    <row r="40" spans="1:11" ht="18.75" customHeight="1" x14ac:dyDescent="0.2">
      <c r="A40" s="7" t="s">
        <v>75</v>
      </c>
      <c r="B40" s="7" t="s">
        <v>98</v>
      </c>
      <c r="C40" s="7">
        <v>1.4999999999999999E-2</v>
      </c>
      <c r="D40" s="8" t="s">
        <v>99</v>
      </c>
      <c r="E40" s="4">
        <v>1</v>
      </c>
      <c r="F40" s="4">
        <v>0.5</v>
      </c>
      <c r="G40" s="4">
        <v>0.25</v>
      </c>
      <c r="H40" s="4">
        <f t="shared" si="2"/>
        <v>1</v>
      </c>
      <c r="I40" s="4">
        <f t="shared" si="3"/>
        <v>1</v>
      </c>
      <c r="K40" s="6" t="s">
        <v>139</v>
      </c>
    </row>
    <row r="41" spans="1:11" ht="18.75" customHeight="1" x14ac:dyDescent="0.2">
      <c r="A41" s="7" t="s">
        <v>76</v>
      </c>
      <c r="B41" s="7" t="s">
        <v>98</v>
      </c>
      <c r="C41" s="7">
        <v>1.4999999999999999E-2</v>
      </c>
      <c r="D41" s="8" t="s">
        <v>99</v>
      </c>
      <c r="E41" s="4">
        <v>1.4</v>
      </c>
      <c r="F41" s="4">
        <v>0.7</v>
      </c>
      <c r="G41" s="4">
        <v>0.35</v>
      </c>
      <c r="H41" s="4">
        <f t="shared" si="2"/>
        <v>1</v>
      </c>
      <c r="I41" s="4">
        <f t="shared" si="3"/>
        <v>1</v>
      </c>
      <c r="K41" s="6" t="s">
        <v>140</v>
      </c>
    </row>
    <row r="42" spans="1:11" ht="18.75" customHeight="1" x14ac:dyDescent="0.2">
      <c r="A42" s="7" t="s">
        <v>77</v>
      </c>
      <c r="B42" s="7" t="s">
        <v>98</v>
      </c>
      <c r="C42" s="7">
        <v>1.4999999999999999E-2</v>
      </c>
      <c r="D42" s="8" t="s">
        <v>101</v>
      </c>
      <c r="E42" s="4">
        <v>0.3</v>
      </c>
      <c r="F42" s="4">
        <v>0.3</v>
      </c>
      <c r="G42" s="4">
        <v>0.3</v>
      </c>
      <c r="H42" s="4">
        <f t="shared" si="2"/>
        <v>0</v>
      </c>
      <c r="I42" s="4">
        <f t="shared" si="3"/>
        <v>0</v>
      </c>
      <c r="K42" s="6" t="s">
        <v>137</v>
      </c>
    </row>
    <row r="43" spans="1:11" ht="18.75" customHeight="1" x14ac:dyDescent="0.2">
      <c r="A43" s="7" t="s">
        <v>78</v>
      </c>
      <c r="B43" s="7" t="s">
        <v>98</v>
      </c>
      <c r="C43" s="7">
        <v>1.4999999999999999E-2</v>
      </c>
      <c r="D43" s="8" t="s">
        <v>101</v>
      </c>
      <c r="E43" s="4">
        <v>0.4</v>
      </c>
      <c r="F43" s="4">
        <v>0.4</v>
      </c>
      <c r="G43" s="4">
        <v>0.3</v>
      </c>
      <c r="H43" s="4">
        <f t="shared" si="2"/>
        <v>0</v>
      </c>
      <c r="I43" s="4">
        <f t="shared" si="3"/>
        <v>0</v>
      </c>
      <c r="K43" s="6" t="s">
        <v>141</v>
      </c>
    </row>
    <row r="44" spans="1:11" ht="18.75" customHeight="1" x14ac:dyDescent="0.2">
      <c r="A44" s="7" t="s">
        <v>79</v>
      </c>
      <c r="B44" s="7" t="s">
        <v>98</v>
      </c>
      <c r="C44" s="7">
        <v>1.4999999999999999E-2</v>
      </c>
      <c r="D44" s="8" t="s">
        <v>101</v>
      </c>
      <c r="E44" s="4">
        <v>0.3</v>
      </c>
      <c r="F44" s="4">
        <v>0.3</v>
      </c>
      <c r="G44" s="4">
        <v>0.4</v>
      </c>
      <c r="H44" s="4">
        <f t="shared" si="2"/>
        <v>0</v>
      </c>
      <c r="I44" s="4">
        <f t="shared" si="3"/>
        <v>0</v>
      </c>
      <c r="K44" s="6" t="s">
        <v>151</v>
      </c>
    </row>
    <row r="45" spans="1:11" ht="18.75" customHeight="1" x14ac:dyDescent="0.2">
      <c r="A45" s="7" t="s">
        <v>80</v>
      </c>
      <c r="B45" s="7" t="s">
        <v>98</v>
      </c>
      <c r="C45" s="7">
        <v>1.4999999999999999E-2</v>
      </c>
      <c r="D45" s="8" t="s">
        <v>101</v>
      </c>
      <c r="E45" s="4">
        <v>0.4</v>
      </c>
      <c r="F45" s="4">
        <v>0.4</v>
      </c>
      <c r="G45" s="4">
        <v>0.4</v>
      </c>
      <c r="H45" s="4">
        <f t="shared" si="2"/>
        <v>0</v>
      </c>
      <c r="I45" s="4">
        <f t="shared" si="3"/>
        <v>0</v>
      </c>
      <c r="K45" s="6" t="s">
        <v>142</v>
      </c>
    </row>
    <row r="46" spans="1:11" ht="18.75" customHeight="1" x14ac:dyDescent="0.2">
      <c r="A46" s="7" t="s">
        <v>81</v>
      </c>
      <c r="B46" s="7" t="s">
        <v>98</v>
      </c>
      <c r="C46" s="7">
        <v>1.4999999999999999E-2</v>
      </c>
      <c r="D46" s="8" t="s">
        <v>101</v>
      </c>
      <c r="E46" s="4">
        <v>0.5</v>
      </c>
      <c r="F46" s="4">
        <v>0.5</v>
      </c>
      <c r="G46" s="4">
        <v>0.4</v>
      </c>
      <c r="H46" s="4">
        <f t="shared" si="2"/>
        <v>0</v>
      </c>
      <c r="I46" s="4">
        <f t="shared" si="3"/>
        <v>0</v>
      </c>
      <c r="K46" s="6" t="s">
        <v>143</v>
      </c>
    </row>
    <row r="47" spans="1:11" ht="18.75" customHeight="1" x14ac:dyDescent="0.2">
      <c r="A47" s="7" t="s">
        <v>82</v>
      </c>
      <c r="B47" s="7" t="s">
        <v>98</v>
      </c>
      <c r="C47" s="7">
        <v>1.4999999999999999E-2</v>
      </c>
      <c r="D47" s="8" t="s">
        <v>101</v>
      </c>
      <c r="E47" s="4">
        <v>0.6</v>
      </c>
      <c r="F47" s="4">
        <v>0.6</v>
      </c>
      <c r="G47" s="4">
        <v>0.4</v>
      </c>
      <c r="H47" s="4">
        <f t="shared" si="2"/>
        <v>0</v>
      </c>
      <c r="I47" s="4">
        <f t="shared" si="3"/>
        <v>0</v>
      </c>
      <c r="K47" s="6" t="s">
        <v>152</v>
      </c>
    </row>
    <row r="48" spans="1:11" ht="18.75" customHeight="1" x14ac:dyDescent="0.2">
      <c r="A48" s="7" t="s">
        <v>83</v>
      </c>
      <c r="B48" s="7" t="s">
        <v>98</v>
      </c>
      <c r="C48" s="7">
        <v>1.4999999999999999E-2</v>
      </c>
      <c r="D48" s="8" t="s">
        <v>101</v>
      </c>
      <c r="E48" s="4">
        <v>0.7</v>
      </c>
      <c r="F48" s="4">
        <v>0.7</v>
      </c>
      <c r="G48" s="4">
        <v>0.4</v>
      </c>
      <c r="H48" s="4">
        <f t="shared" si="2"/>
        <v>0</v>
      </c>
      <c r="I48" s="4">
        <f t="shared" si="3"/>
        <v>0</v>
      </c>
      <c r="K48" s="6" t="s">
        <v>153</v>
      </c>
    </row>
    <row r="49" spans="1:11" ht="18.75" customHeight="1" x14ac:dyDescent="0.2">
      <c r="A49" s="7" t="s">
        <v>84</v>
      </c>
      <c r="B49" s="7" t="s">
        <v>98</v>
      </c>
      <c r="C49" s="7">
        <v>1.4999999999999999E-2</v>
      </c>
      <c r="D49" s="8" t="s">
        <v>101</v>
      </c>
      <c r="E49" s="4">
        <v>0.8</v>
      </c>
      <c r="F49" s="4">
        <v>0.8</v>
      </c>
      <c r="G49" s="4">
        <v>0.4</v>
      </c>
      <c r="H49" s="4">
        <f t="shared" si="2"/>
        <v>0</v>
      </c>
      <c r="I49" s="4">
        <f t="shared" si="3"/>
        <v>0</v>
      </c>
      <c r="K49" s="6" t="s">
        <v>154</v>
      </c>
    </row>
    <row r="50" spans="1:11" ht="18.75" customHeight="1" x14ac:dyDescent="0.2">
      <c r="A50" s="7" t="s">
        <v>113</v>
      </c>
      <c r="B50" s="7" t="s">
        <v>98</v>
      </c>
      <c r="C50" s="7">
        <v>1.4999999999999999E-2</v>
      </c>
      <c r="D50" s="8" t="s">
        <v>101</v>
      </c>
      <c r="E50" s="4">
        <v>0.4</v>
      </c>
      <c r="F50" s="4">
        <v>0.4</v>
      </c>
      <c r="G50" s="4">
        <v>0.6</v>
      </c>
      <c r="H50" s="4">
        <f t="shared" si="2"/>
        <v>0</v>
      </c>
      <c r="I50" s="4">
        <f t="shared" si="3"/>
        <v>0</v>
      </c>
      <c r="K50" s="6" t="s">
        <v>155</v>
      </c>
    </row>
    <row r="51" spans="1:11" ht="18.75" customHeight="1" x14ac:dyDescent="0.2">
      <c r="A51" s="7" t="s">
        <v>114</v>
      </c>
      <c r="B51" s="7" t="s">
        <v>98</v>
      </c>
      <c r="C51" s="7">
        <v>1.4999999999999999E-2</v>
      </c>
      <c r="D51" s="8" t="s">
        <v>101</v>
      </c>
      <c r="E51" s="4">
        <v>0.5</v>
      </c>
      <c r="F51" s="4">
        <v>0.5</v>
      </c>
      <c r="G51" s="4">
        <v>0.6</v>
      </c>
      <c r="H51" s="4">
        <f t="shared" si="2"/>
        <v>0</v>
      </c>
      <c r="I51" s="4">
        <f t="shared" si="3"/>
        <v>0</v>
      </c>
      <c r="K51" s="6" t="s">
        <v>156</v>
      </c>
    </row>
    <row r="52" spans="1:11" ht="18.75" customHeight="1" x14ac:dyDescent="0.2">
      <c r="A52" s="7" t="s">
        <v>115</v>
      </c>
      <c r="B52" s="7" t="s">
        <v>98</v>
      </c>
      <c r="C52" s="7">
        <v>1.4999999999999999E-2</v>
      </c>
      <c r="D52" s="8" t="s">
        <v>101</v>
      </c>
      <c r="E52" s="4">
        <v>0.6</v>
      </c>
      <c r="F52" s="4">
        <v>0.6</v>
      </c>
      <c r="G52" s="4">
        <v>0.6</v>
      </c>
      <c r="H52" s="4">
        <f t="shared" si="2"/>
        <v>0</v>
      </c>
      <c r="I52" s="4">
        <f t="shared" si="3"/>
        <v>0</v>
      </c>
      <c r="K52" s="6" t="s">
        <v>157</v>
      </c>
    </row>
    <row r="53" spans="1:11" ht="18.75" customHeight="1" x14ac:dyDescent="0.2">
      <c r="A53" s="7" t="s">
        <v>116</v>
      </c>
      <c r="B53" s="7" t="s">
        <v>98</v>
      </c>
      <c r="C53" s="7">
        <v>1.4999999999999999E-2</v>
      </c>
      <c r="D53" s="8" t="s">
        <v>101</v>
      </c>
      <c r="E53" s="4">
        <v>0.7</v>
      </c>
      <c r="F53" s="4">
        <v>0.7</v>
      </c>
      <c r="G53" s="4">
        <v>0.6</v>
      </c>
      <c r="H53" s="4">
        <f t="shared" si="2"/>
        <v>0</v>
      </c>
      <c r="I53" s="4">
        <f t="shared" si="3"/>
        <v>0</v>
      </c>
      <c r="K53" s="6" t="s">
        <v>158</v>
      </c>
    </row>
    <row r="54" spans="1:11" ht="18.75" customHeight="1" x14ac:dyDescent="0.2">
      <c r="A54" s="7" t="s">
        <v>117</v>
      </c>
      <c r="B54" s="7" t="s">
        <v>98</v>
      </c>
      <c r="C54" s="7">
        <v>1.4999999999999999E-2</v>
      </c>
      <c r="D54" s="8" t="s">
        <v>101</v>
      </c>
      <c r="E54" s="4">
        <v>0.8</v>
      </c>
      <c r="F54" s="4">
        <v>0.8</v>
      </c>
      <c r="G54" s="4">
        <v>0.6</v>
      </c>
      <c r="H54" s="4">
        <f t="shared" si="2"/>
        <v>0</v>
      </c>
      <c r="I54" s="4">
        <f t="shared" si="3"/>
        <v>0</v>
      </c>
      <c r="K54" s="6" t="s">
        <v>159</v>
      </c>
    </row>
    <row r="55" spans="1:11" ht="18.75" customHeight="1" x14ac:dyDescent="0.2">
      <c r="A55" s="7" t="s">
        <v>118</v>
      </c>
      <c r="B55" s="7" t="s">
        <v>98</v>
      </c>
      <c r="C55" s="7">
        <v>1.4999999999999999E-2</v>
      </c>
      <c r="D55" s="8" t="s">
        <v>101</v>
      </c>
      <c r="E55" s="4">
        <v>1</v>
      </c>
      <c r="F55" s="4">
        <v>1</v>
      </c>
      <c r="G55" s="4">
        <v>0.6</v>
      </c>
      <c r="H55" s="4">
        <f t="shared" si="2"/>
        <v>0</v>
      </c>
      <c r="I55" s="4">
        <f t="shared" si="3"/>
        <v>0</v>
      </c>
      <c r="K55" s="6" t="s">
        <v>160</v>
      </c>
    </row>
    <row r="56" spans="1:11" ht="18.75" customHeight="1" x14ac:dyDescent="0.2">
      <c r="A56" s="7" t="s">
        <v>119</v>
      </c>
      <c r="B56" s="7" t="s">
        <v>98</v>
      </c>
      <c r="C56" s="7">
        <v>1.4999999999999999E-2</v>
      </c>
      <c r="D56" s="8" t="s">
        <v>101</v>
      </c>
      <c r="E56" s="4">
        <v>0.5</v>
      </c>
      <c r="F56" s="4">
        <v>0.5</v>
      </c>
      <c r="G56" s="4">
        <v>0.8</v>
      </c>
      <c r="H56" s="4">
        <f t="shared" si="2"/>
        <v>0</v>
      </c>
      <c r="I56" s="4">
        <f t="shared" si="3"/>
        <v>0</v>
      </c>
      <c r="K56" s="6" t="s">
        <v>161</v>
      </c>
    </row>
    <row r="57" spans="1:11" ht="18.75" customHeight="1" x14ac:dyDescent="0.2">
      <c r="A57" s="7" t="s">
        <v>120</v>
      </c>
      <c r="B57" s="7" t="s">
        <v>98</v>
      </c>
      <c r="C57" s="7">
        <v>1.4999999999999999E-2</v>
      </c>
      <c r="D57" s="8" t="s">
        <v>101</v>
      </c>
      <c r="E57" s="4">
        <v>0.6</v>
      </c>
      <c r="F57" s="4">
        <v>0.6</v>
      </c>
      <c r="G57" s="4">
        <v>0.8</v>
      </c>
      <c r="H57" s="4">
        <f t="shared" si="2"/>
        <v>0</v>
      </c>
      <c r="I57" s="4">
        <f t="shared" si="3"/>
        <v>0</v>
      </c>
      <c r="K57" s="6" t="s">
        <v>165</v>
      </c>
    </row>
    <row r="58" spans="1:11" ht="18.75" customHeight="1" x14ac:dyDescent="0.2">
      <c r="A58" s="7" t="s">
        <v>121</v>
      </c>
      <c r="B58" s="7" t="s">
        <v>98</v>
      </c>
      <c r="C58" s="7">
        <v>1.4999999999999999E-2</v>
      </c>
      <c r="D58" s="8" t="s">
        <v>101</v>
      </c>
      <c r="E58" s="4">
        <v>0.7</v>
      </c>
      <c r="F58" s="4">
        <v>0.7</v>
      </c>
      <c r="G58" s="4">
        <v>0.8</v>
      </c>
      <c r="H58" s="4">
        <f t="shared" si="2"/>
        <v>0</v>
      </c>
      <c r="I58" s="4">
        <f t="shared" si="3"/>
        <v>0</v>
      </c>
      <c r="K58" s="6" t="s">
        <v>163</v>
      </c>
    </row>
    <row r="59" spans="1:11" ht="18.75" customHeight="1" x14ac:dyDescent="0.2">
      <c r="A59" s="7" t="s">
        <v>122</v>
      </c>
      <c r="B59" s="7" t="s">
        <v>98</v>
      </c>
      <c r="C59" s="7">
        <v>1.4999999999999999E-2</v>
      </c>
      <c r="D59" s="8" t="s">
        <v>101</v>
      </c>
      <c r="E59" s="4">
        <v>0.8</v>
      </c>
      <c r="F59" s="4">
        <v>0.8</v>
      </c>
      <c r="G59" s="4">
        <v>0.8</v>
      </c>
      <c r="H59" s="4">
        <f t="shared" si="2"/>
        <v>0</v>
      </c>
      <c r="I59" s="4">
        <f t="shared" si="3"/>
        <v>0</v>
      </c>
      <c r="K59" s="6" t="s">
        <v>162</v>
      </c>
    </row>
    <row r="60" spans="1:11" ht="18.75" customHeight="1" x14ac:dyDescent="0.2">
      <c r="A60" s="7" t="s">
        <v>123</v>
      </c>
      <c r="B60" s="7" t="s">
        <v>98</v>
      </c>
      <c r="C60" s="7">
        <v>1.4999999999999999E-2</v>
      </c>
      <c r="D60" s="8" t="s">
        <v>101</v>
      </c>
      <c r="E60" s="4">
        <v>1</v>
      </c>
      <c r="F60" s="4">
        <v>1</v>
      </c>
      <c r="G60" s="4">
        <v>0.8</v>
      </c>
      <c r="H60" s="4">
        <f t="shared" si="2"/>
        <v>0</v>
      </c>
      <c r="I60" s="4">
        <f t="shared" si="3"/>
        <v>0</v>
      </c>
      <c r="K60" s="6" t="s">
        <v>164</v>
      </c>
    </row>
    <row r="61" spans="1:11" ht="18.75" customHeight="1" x14ac:dyDescent="0.2">
      <c r="A61" s="7" t="s">
        <v>124</v>
      </c>
      <c r="B61" s="7" t="s">
        <v>98</v>
      </c>
      <c r="C61" s="7">
        <v>1.4999999999999999E-2</v>
      </c>
      <c r="D61" s="8" t="s">
        <v>101</v>
      </c>
      <c r="E61" s="4">
        <v>0.6</v>
      </c>
      <c r="F61" s="4">
        <v>0.6</v>
      </c>
      <c r="G61" s="4">
        <v>1</v>
      </c>
      <c r="H61" s="4">
        <f t="shared" si="2"/>
        <v>0</v>
      </c>
      <c r="I61" s="4">
        <f t="shared" si="3"/>
        <v>0</v>
      </c>
      <c r="K61" s="6" t="s">
        <v>166</v>
      </c>
    </row>
    <row r="62" spans="1:11" ht="18.75" customHeight="1" x14ac:dyDescent="0.2">
      <c r="A62" s="7" t="s">
        <v>125</v>
      </c>
      <c r="B62" s="7" t="s">
        <v>98</v>
      </c>
      <c r="C62" s="7">
        <v>1.4999999999999999E-2</v>
      </c>
      <c r="D62" s="8" t="s">
        <v>101</v>
      </c>
      <c r="E62" s="4">
        <v>0.7</v>
      </c>
      <c r="F62" s="4">
        <v>0.7</v>
      </c>
      <c r="G62" s="4">
        <v>1</v>
      </c>
      <c r="H62" s="4">
        <f t="shared" si="2"/>
        <v>0</v>
      </c>
      <c r="I62" s="4">
        <f t="shared" si="3"/>
        <v>0</v>
      </c>
      <c r="K62" s="6" t="s">
        <v>167</v>
      </c>
    </row>
    <row r="63" spans="1:11" ht="18.75" customHeight="1" x14ac:dyDescent="0.2">
      <c r="A63" s="7" t="s">
        <v>144</v>
      </c>
      <c r="B63" s="7" t="s">
        <v>98</v>
      </c>
      <c r="C63" s="7">
        <v>1.4999999999999999E-2</v>
      </c>
      <c r="D63" s="8" t="s">
        <v>101</v>
      </c>
      <c r="E63" s="4">
        <v>0.8</v>
      </c>
      <c r="F63" s="4">
        <v>0.8</v>
      </c>
      <c r="G63" s="4">
        <v>1</v>
      </c>
      <c r="H63" s="4">
        <f t="shared" si="2"/>
        <v>0</v>
      </c>
      <c r="I63" s="4">
        <f t="shared" si="3"/>
        <v>0</v>
      </c>
      <c r="K63" s="6" t="s">
        <v>169</v>
      </c>
    </row>
    <row r="64" spans="1:11" ht="18.75" customHeight="1" x14ac:dyDescent="0.2">
      <c r="A64" s="7" t="s">
        <v>145</v>
      </c>
      <c r="B64" s="7" t="s">
        <v>98</v>
      </c>
      <c r="C64" s="7">
        <v>1.4999999999999999E-2</v>
      </c>
      <c r="D64" s="8" t="s">
        <v>101</v>
      </c>
      <c r="E64" s="4">
        <v>1</v>
      </c>
      <c r="F64" s="4">
        <v>1</v>
      </c>
      <c r="G64" s="4">
        <v>1</v>
      </c>
      <c r="H64" s="4">
        <f t="shared" si="2"/>
        <v>0</v>
      </c>
      <c r="I64" s="4">
        <f t="shared" si="3"/>
        <v>0</v>
      </c>
      <c r="K64" s="6" t="s">
        <v>168</v>
      </c>
    </row>
    <row r="65" spans="1:11" ht="18.75" customHeight="1" x14ac:dyDescent="0.2">
      <c r="A65" s="7" t="s">
        <v>146</v>
      </c>
      <c r="B65" s="7" t="s">
        <v>98</v>
      </c>
      <c r="C65" s="7">
        <v>1.4999999999999999E-2</v>
      </c>
      <c r="D65" s="8" t="s">
        <v>101</v>
      </c>
      <c r="E65" s="4">
        <v>1.2</v>
      </c>
      <c r="F65" s="4">
        <v>1.2</v>
      </c>
      <c r="G65" s="4">
        <v>1</v>
      </c>
      <c r="H65" s="4">
        <f t="shared" si="2"/>
        <v>0</v>
      </c>
      <c r="I65" s="4">
        <f t="shared" si="3"/>
        <v>0</v>
      </c>
      <c r="K65" s="6" t="s">
        <v>170</v>
      </c>
    </row>
    <row r="66" spans="1:11" ht="18.75" customHeight="1" x14ac:dyDescent="0.2">
      <c r="A66" s="7" t="s">
        <v>147</v>
      </c>
      <c r="B66" s="7" t="s">
        <v>98</v>
      </c>
      <c r="C66" s="7">
        <v>1.4999999999999999E-2</v>
      </c>
      <c r="D66" s="8" t="s">
        <v>101</v>
      </c>
      <c r="E66" s="4">
        <v>0.8</v>
      </c>
      <c r="F66" s="4">
        <v>0.8</v>
      </c>
      <c r="G66" s="4">
        <v>1.2</v>
      </c>
      <c r="H66" s="4">
        <f t="shared" si="2"/>
        <v>0</v>
      </c>
      <c r="I66" s="4">
        <f t="shared" si="3"/>
        <v>0</v>
      </c>
      <c r="K66" s="6" t="s">
        <v>171</v>
      </c>
    </row>
    <row r="67" spans="1:11" ht="18.75" customHeight="1" x14ac:dyDescent="0.2">
      <c r="A67" s="7" t="s">
        <v>148</v>
      </c>
      <c r="B67" s="7" t="s">
        <v>98</v>
      </c>
      <c r="C67" s="7">
        <v>1.4999999999999999E-2</v>
      </c>
      <c r="D67" s="8" t="s">
        <v>101</v>
      </c>
      <c r="E67" s="4">
        <v>1</v>
      </c>
      <c r="F67" s="4">
        <v>1</v>
      </c>
      <c r="G67" s="4">
        <v>1.2</v>
      </c>
      <c r="H67" s="4">
        <f t="shared" si="2"/>
        <v>0</v>
      </c>
      <c r="I67" s="4">
        <f t="shared" si="3"/>
        <v>0</v>
      </c>
      <c r="K67" s="6" t="s">
        <v>172</v>
      </c>
    </row>
    <row r="68" spans="1:11" ht="18.75" customHeight="1" x14ac:dyDescent="0.2">
      <c r="A68" s="7" t="s">
        <v>149</v>
      </c>
      <c r="B68" s="7" t="s">
        <v>98</v>
      </c>
      <c r="C68" s="7">
        <v>1.4999999999999999E-2</v>
      </c>
      <c r="D68" s="8" t="s">
        <v>101</v>
      </c>
      <c r="E68" s="4">
        <v>1.2</v>
      </c>
      <c r="F68" s="4">
        <v>1.2</v>
      </c>
      <c r="G68" s="4">
        <v>1.2</v>
      </c>
      <c r="H68" s="4">
        <f t="shared" si="2"/>
        <v>0</v>
      </c>
      <c r="I68" s="4">
        <f t="shared" si="3"/>
        <v>0</v>
      </c>
      <c r="K68" s="6" t="s">
        <v>173</v>
      </c>
    </row>
    <row r="69" spans="1:11" ht="18.75" customHeight="1" x14ac:dyDescent="0.2">
      <c r="A69" s="7" t="s">
        <v>150</v>
      </c>
      <c r="B69" s="7" t="s">
        <v>98</v>
      </c>
      <c r="C69" s="7">
        <v>1.4999999999999999E-2</v>
      </c>
      <c r="D69" s="8" t="s">
        <v>101</v>
      </c>
      <c r="E69" s="4">
        <v>1.5</v>
      </c>
      <c r="F69" s="4">
        <v>1.5</v>
      </c>
      <c r="G69" s="4">
        <v>1.2</v>
      </c>
      <c r="H69" s="4">
        <f t="shared" si="2"/>
        <v>0</v>
      </c>
      <c r="I69" s="4">
        <f t="shared" si="3"/>
        <v>0</v>
      </c>
      <c r="K69" s="6" t="s">
        <v>174</v>
      </c>
    </row>
    <row r="70" spans="1:11" ht="18.75" customHeight="1" x14ac:dyDescent="0.2">
      <c r="A70" s="7" t="s">
        <v>215</v>
      </c>
      <c r="B70" s="7" t="s">
        <v>98</v>
      </c>
      <c r="C70" s="7">
        <v>1.4999999999999999E-2</v>
      </c>
      <c r="D70" s="8" t="s">
        <v>101</v>
      </c>
      <c r="E70" s="4">
        <v>1.5</v>
      </c>
      <c r="F70" s="4">
        <v>1.5</v>
      </c>
      <c r="G70" s="4">
        <v>1</v>
      </c>
      <c r="H70" s="4">
        <f>IF(D70="Trapezoidal",((E70-F70)/2)/G70,IF(D70="Triangular",E70/G70,0))</f>
        <v>0</v>
      </c>
      <c r="I70" s="4">
        <f>IF(D70="Trapezoidal",((E70-F70)/2)/G70,IF(D70="Triangular",F70/G70,0))</f>
        <v>0</v>
      </c>
      <c r="K70" s="6" t="s">
        <v>195</v>
      </c>
    </row>
    <row r="71" spans="1:11" ht="18.75" customHeight="1" x14ac:dyDescent="0.2">
      <c r="A71" s="7" t="s">
        <v>102</v>
      </c>
      <c r="B71" s="7" t="s">
        <v>98</v>
      </c>
      <c r="C71" s="7">
        <v>1.4999999999999999E-2</v>
      </c>
      <c r="D71" s="8" t="s">
        <v>108</v>
      </c>
      <c r="E71" s="4">
        <v>0.3</v>
      </c>
      <c r="F71" s="4">
        <v>0</v>
      </c>
      <c r="G71" s="4">
        <v>0.15</v>
      </c>
      <c r="H71" s="4">
        <f t="shared" si="2"/>
        <v>0</v>
      </c>
      <c r="I71" s="4">
        <f t="shared" si="3"/>
        <v>0</v>
      </c>
      <c r="K71" s="6" t="s">
        <v>177</v>
      </c>
    </row>
    <row r="72" spans="1:11" ht="18.75" customHeight="1" x14ac:dyDescent="0.2">
      <c r="A72" s="7" t="s">
        <v>103</v>
      </c>
      <c r="B72" s="7" t="s">
        <v>98</v>
      </c>
      <c r="C72" s="7">
        <v>1.4999999999999999E-2</v>
      </c>
      <c r="D72" s="8" t="s">
        <v>108</v>
      </c>
      <c r="E72" s="4">
        <v>0.4</v>
      </c>
      <c r="F72" s="4">
        <v>0</v>
      </c>
      <c r="G72" s="4">
        <v>0.2</v>
      </c>
      <c r="H72" s="4">
        <f t="shared" si="2"/>
        <v>0</v>
      </c>
      <c r="I72" s="4">
        <f t="shared" si="3"/>
        <v>0</v>
      </c>
      <c r="K72" s="6" t="s">
        <v>178</v>
      </c>
    </row>
    <row r="73" spans="1:11" ht="18.75" customHeight="1" x14ac:dyDescent="0.2">
      <c r="A73" s="7" t="s">
        <v>104</v>
      </c>
      <c r="B73" s="7" t="s">
        <v>98</v>
      </c>
      <c r="C73" s="7">
        <v>1.4999999999999999E-2</v>
      </c>
      <c r="D73" s="8" t="s">
        <v>108</v>
      </c>
      <c r="E73" s="4">
        <v>0.5</v>
      </c>
      <c r="F73" s="4">
        <v>0</v>
      </c>
      <c r="G73" s="4">
        <v>0.25</v>
      </c>
      <c r="H73" s="4">
        <f t="shared" si="2"/>
        <v>0</v>
      </c>
      <c r="I73" s="4">
        <f t="shared" si="3"/>
        <v>0</v>
      </c>
      <c r="K73" s="6" t="s">
        <v>179</v>
      </c>
    </row>
    <row r="74" spans="1:11" ht="18.75" customHeight="1" x14ac:dyDescent="0.2">
      <c r="A74" s="7" t="s">
        <v>105</v>
      </c>
      <c r="B74" s="7" t="s">
        <v>98</v>
      </c>
      <c r="C74" s="7">
        <v>1.4999999999999999E-2</v>
      </c>
      <c r="D74" s="8" t="s">
        <v>108</v>
      </c>
      <c r="E74" s="4">
        <v>0.6</v>
      </c>
      <c r="F74" s="4">
        <v>0</v>
      </c>
      <c r="G74" s="4">
        <v>0.3</v>
      </c>
      <c r="H74" s="4">
        <f t="shared" si="2"/>
        <v>0</v>
      </c>
      <c r="I74" s="4">
        <f t="shared" si="3"/>
        <v>0</v>
      </c>
      <c r="K74" s="6" t="s">
        <v>180</v>
      </c>
    </row>
    <row r="75" spans="1:11" ht="18.75" customHeight="1" x14ac:dyDescent="0.2">
      <c r="A75" s="7" t="s">
        <v>106</v>
      </c>
      <c r="B75" s="7" t="s">
        <v>98</v>
      </c>
      <c r="C75" s="7">
        <v>1.4999999999999999E-2</v>
      </c>
      <c r="D75" s="8" t="s">
        <v>108</v>
      </c>
      <c r="E75" s="4">
        <v>0.7</v>
      </c>
      <c r="F75" s="4">
        <v>0</v>
      </c>
      <c r="G75" s="4">
        <v>0.35</v>
      </c>
      <c r="H75" s="4">
        <f t="shared" si="2"/>
        <v>0</v>
      </c>
      <c r="I75" s="4">
        <f t="shared" si="3"/>
        <v>0</v>
      </c>
      <c r="K75" s="6" t="s">
        <v>181</v>
      </c>
    </row>
    <row r="76" spans="1:11" ht="18.75" customHeight="1" x14ac:dyDescent="0.2">
      <c r="A76" s="7" t="s">
        <v>107</v>
      </c>
      <c r="B76" s="7" t="s">
        <v>98</v>
      </c>
      <c r="C76" s="7">
        <v>1.4999999999999999E-2</v>
      </c>
      <c r="D76" s="8" t="s">
        <v>108</v>
      </c>
      <c r="E76" s="4">
        <v>0.8</v>
      </c>
      <c r="F76" s="4">
        <v>0</v>
      </c>
      <c r="G76" s="4">
        <v>0.4</v>
      </c>
      <c r="H76" s="4">
        <f t="shared" si="2"/>
        <v>0</v>
      </c>
      <c r="I76" s="4">
        <f t="shared" si="3"/>
        <v>0</v>
      </c>
      <c r="K76" s="6" t="s">
        <v>182</v>
      </c>
    </row>
    <row r="77" spans="1:11" ht="18.75" customHeight="1" x14ac:dyDescent="0.2">
      <c r="A77" s="7" t="s">
        <v>200</v>
      </c>
      <c r="B77" s="7" t="s">
        <v>98</v>
      </c>
      <c r="C77" s="7">
        <v>1.4999999999999999E-2</v>
      </c>
      <c r="D77" s="8" t="s">
        <v>101</v>
      </c>
      <c r="E77" s="4">
        <v>0.5</v>
      </c>
      <c r="F77" s="4">
        <v>0.5</v>
      </c>
      <c r="G77" s="4">
        <v>0.15</v>
      </c>
      <c r="H77" s="4">
        <f t="shared" si="2"/>
        <v>0</v>
      </c>
      <c r="I77" s="4">
        <f t="shared" si="3"/>
        <v>0</v>
      </c>
      <c r="K77" s="6" t="s">
        <v>202</v>
      </c>
    </row>
    <row r="78" spans="1:11" ht="18.75" customHeight="1" x14ac:dyDescent="0.2">
      <c r="A78" s="7" t="s">
        <v>201</v>
      </c>
      <c r="B78" s="7" t="s">
        <v>98</v>
      </c>
      <c r="C78" s="7">
        <v>1.4999999999999999E-2</v>
      </c>
      <c r="D78" s="8" t="s">
        <v>101</v>
      </c>
      <c r="E78" s="4">
        <v>1</v>
      </c>
      <c r="F78" s="4">
        <v>1</v>
      </c>
      <c r="G78" s="4">
        <v>0.25</v>
      </c>
      <c r="H78" s="4">
        <f t="shared" si="2"/>
        <v>0</v>
      </c>
      <c r="I78" s="4">
        <f t="shared" si="3"/>
        <v>0</v>
      </c>
      <c r="K78" s="6" t="s">
        <v>202</v>
      </c>
    </row>
    <row r="79" spans="1:11" ht="18.75" customHeight="1" x14ac:dyDescent="0.2">
      <c r="A79" s="7" t="s">
        <v>209</v>
      </c>
      <c r="B79" s="7" t="s">
        <v>98</v>
      </c>
      <c r="C79" s="7">
        <v>1.4999999999999999E-2</v>
      </c>
      <c r="D79" s="8" t="s">
        <v>101</v>
      </c>
      <c r="E79" s="4">
        <v>1.5</v>
      </c>
      <c r="F79" s="4">
        <v>1.5</v>
      </c>
      <c r="G79" s="4">
        <v>0.35</v>
      </c>
      <c r="H79" s="4">
        <f>IF(D79="Trapezoidal",((E79-F79)/2)/G79,IF(D79="Triangular",E79/G79,0))</f>
        <v>0</v>
      </c>
      <c r="I79" s="4">
        <f>IF(D79="Trapezoidal",((E79-F79)/2)/G79,IF(D79="Triangular",F79/G79,0))</f>
        <v>0</v>
      </c>
      <c r="K79" s="6" t="s">
        <v>202</v>
      </c>
    </row>
    <row r="80" spans="1:11" ht="18.75" customHeight="1" x14ac:dyDescent="0.2">
      <c r="A80" s="7" t="s">
        <v>203</v>
      </c>
      <c r="B80" s="7" t="s">
        <v>98</v>
      </c>
      <c r="C80" s="7">
        <v>1.4999999999999999E-2</v>
      </c>
      <c r="D80" s="8" t="s">
        <v>101</v>
      </c>
      <c r="E80" s="4">
        <v>0.5</v>
      </c>
      <c r="F80" s="4">
        <v>0.5</v>
      </c>
      <c r="G80" s="4">
        <v>0.1</v>
      </c>
      <c r="H80" s="4">
        <f t="shared" si="2"/>
        <v>0</v>
      </c>
      <c r="I80" s="4">
        <f t="shared" si="3"/>
        <v>0</v>
      </c>
      <c r="K80" s="6" t="s">
        <v>202</v>
      </c>
    </row>
    <row r="81" spans="1:11" ht="18.75" customHeight="1" x14ac:dyDescent="0.2">
      <c r="A81" s="7" t="s">
        <v>204</v>
      </c>
      <c r="B81" s="7" t="s">
        <v>98</v>
      </c>
      <c r="C81" s="7">
        <v>1.4999999999999999E-2</v>
      </c>
      <c r="D81" s="8" t="s">
        <v>101</v>
      </c>
      <c r="E81" s="4">
        <v>2.2200000000000002</v>
      </c>
      <c r="F81" s="4">
        <v>2.2200000000000002</v>
      </c>
      <c r="G81" s="4">
        <v>0.15</v>
      </c>
      <c r="H81" s="4">
        <f t="shared" si="2"/>
        <v>0</v>
      </c>
      <c r="I81" s="4">
        <f t="shared" si="3"/>
        <v>0</v>
      </c>
      <c r="K81" s="6" t="s">
        <v>202</v>
      </c>
    </row>
    <row r="82" spans="1:11" ht="18.75" customHeight="1" x14ac:dyDescent="0.2">
      <c r="A82" s="9" t="s">
        <v>217</v>
      </c>
      <c r="B82" s="7" t="s">
        <v>98</v>
      </c>
      <c r="C82" s="7">
        <v>1.4999999999999999E-2</v>
      </c>
      <c r="D82" s="8" t="s">
        <v>101</v>
      </c>
      <c r="E82" s="4">
        <v>2.73</v>
      </c>
      <c r="F82" s="4">
        <v>2.73</v>
      </c>
      <c r="G82" s="4">
        <v>0.2</v>
      </c>
      <c r="H82" s="4">
        <f t="shared" ref="H82" si="4">IF(D82="Trapezoidal",((E82-F82)/2)/G82,IF(D82="Triangular",E82/G82,0))</f>
        <v>0</v>
      </c>
      <c r="I82" s="4">
        <f t="shared" ref="I82" si="5">IF(D82="Trapezoidal",((E82-F82)/2)/G82,IF(D82="Triangular",F82/G82,0))</f>
        <v>0</v>
      </c>
      <c r="K82" s="6" t="s">
        <v>202</v>
      </c>
    </row>
    <row r="83" spans="1:11" ht="18.75" customHeight="1" x14ac:dyDescent="0.2">
      <c r="A83" s="7" t="s">
        <v>85</v>
      </c>
      <c r="B83" s="7" t="s">
        <v>98</v>
      </c>
      <c r="C83" s="7">
        <v>1.4999999999999999E-2</v>
      </c>
      <c r="D83" s="8" t="s">
        <v>100</v>
      </c>
      <c r="E83" s="4">
        <v>0.5</v>
      </c>
      <c r="F83" s="4">
        <v>1.2500000000000001E-2</v>
      </c>
      <c r="G83" s="4">
        <v>0.05</v>
      </c>
      <c r="H83" s="4">
        <f t="shared" si="2"/>
        <v>10</v>
      </c>
      <c r="I83" s="4">
        <f t="shared" si="3"/>
        <v>0.25</v>
      </c>
      <c r="K83" s="6" t="s">
        <v>175</v>
      </c>
    </row>
    <row r="84" spans="1:11" ht="18.75" customHeight="1" x14ac:dyDescent="0.2">
      <c r="A84" s="7" t="s">
        <v>86</v>
      </c>
      <c r="B84" s="7" t="s">
        <v>98</v>
      </c>
      <c r="C84" s="7">
        <v>1.4999999999999999E-2</v>
      </c>
      <c r="D84" s="8" t="s">
        <v>100</v>
      </c>
      <c r="E84" s="4">
        <v>0.5</v>
      </c>
      <c r="F84" s="4">
        <v>0.03</v>
      </c>
      <c r="G84" s="4">
        <v>0.05</v>
      </c>
      <c r="H84" s="4">
        <f t="shared" si="2"/>
        <v>10</v>
      </c>
      <c r="I84" s="4">
        <f t="shared" si="3"/>
        <v>0.6</v>
      </c>
      <c r="K84" s="6" t="s">
        <v>175</v>
      </c>
    </row>
    <row r="85" spans="1:11" ht="18.75" customHeight="1" x14ac:dyDescent="0.2">
      <c r="A85" s="7" t="s">
        <v>87</v>
      </c>
      <c r="B85" s="7" t="s">
        <v>98</v>
      </c>
      <c r="C85" s="7">
        <v>1.4999999999999999E-2</v>
      </c>
      <c r="D85" s="8" t="s">
        <v>100</v>
      </c>
      <c r="E85" s="4">
        <v>0.13</v>
      </c>
      <c r="F85" s="4">
        <v>4.0000000000000001E-3</v>
      </c>
      <c r="G85" s="4">
        <v>0.02</v>
      </c>
      <c r="H85" s="4">
        <f t="shared" si="2"/>
        <v>6.5</v>
      </c>
      <c r="I85" s="4">
        <f t="shared" si="3"/>
        <v>0.2</v>
      </c>
      <c r="K85" s="6" t="s">
        <v>176</v>
      </c>
    </row>
    <row r="86" spans="1:11" ht="18.75" customHeight="1" x14ac:dyDescent="0.2">
      <c r="A86" s="7" t="s">
        <v>88</v>
      </c>
      <c r="B86" s="7" t="s">
        <v>98</v>
      </c>
      <c r="C86" s="7">
        <v>1.4999999999999999E-2</v>
      </c>
      <c r="D86" s="8" t="s">
        <v>100</v>
      </c>
      <c r="E86" s="4">
        <v>0.13</v>
      </c>
      <c r="F86" s="4">
        <v>5.0000000000000001E-3</v>
      </c>
      <c r="G86" s="4">
        <v>0.02</v>
      </c>
      <c r="H86" s="4">
        <f t="shared" si="2"/>
        <v>6.5</v>
      </c>
      <c r="I86" s="4">
        <f t="shared" si="3"/>
        <v>0.25</v>
      </c>
      <c r="K86" s="6" t="s">
        <v>176</v>
      </c>
    </row>
    <row r="87" spans="1:11" ht="18.75" customHeight="1" x14ac:dyDescent="0.2">
      <c r="A87" s="7" t="s">
        <v>89</v>
      </c>
      <c r="B87" s="7" t="s">
        <v>94</v>
      </c>
      <c r="C87" s="7">
        <v>1.4999999999999999E-2</v>
      </c>
      <c r="D87" s="8" t="s">
        <v>100</v>
      </c>
      <c r="E87" s="4">
        <v>1</v>
      </c>
      <c r="F87" s="4">
        <v>0</v>
      </c>
      <c r="G87" s="4">
        <v>0.02</v>
      </c>
      <c r="H87" s="4">
        <f t="shared" si="2"/>
        <v>50</v>
      </c>
      <c r="I87" s="4">
        <f t="shared" si="3"/>
        <v>0</v>
      </c>
      <c r="K87" s="5" t="s">
        <v>47</v>
      </c>
    </row>
    <row r="88" spans="1:11" ht="18.75" customHeight="1" x14ac:dyDescent="0.2">
      <c r="A88" s="7" t="s">
        <v>90</v>
      </c>
      <c r="B88" s="7" t="s">
        <v>94</v>
      </c>
      <c r="C88" s="7">
        <v>1.4999999999999999E-2</v>
      </c>
      <c r="D88" s="8" t="s">
        <v>100</v>
      </c>
      <c r="E88" s="4">
        <v>1</v>
      </c>
      <c r="F88" s="4">
        <v>0</v>
      </c>
      <c r="G88" s="4">
        <v>0.02</v>
      </c>
      <c r="H88" s="4">
        <f t="shared" si="2"/>
        <v>50</v>
      </c>
      <c r="I88" s="4">
        <f t="shared" si="3"/>
        <v>0</v>
      </c>
      <c r="K88" s="5" t="s">
        <v>47</v>
      </c>
    </row>
    <row r="89" spans="1:11" ht="18.75" customHeight="1" x14ac:dyDescent="0.2">
      <c r="A89" s="7" t="s">
        <v>91</v>
      </c>
      <c r="B89" s="7" t="s">
        <v>94</v>
      </c>
      <c r="C89" s="7">
        <v>1.4999999999999999E-2</v>
      </c>
      <c r="D89" s="8" t="s">
        <v>100</v>
      </c>
      <c r="E89" s="4">
        <v>1</v>
      </c>
      <c r="F89" s="4">
        <v>0</v>
      </c>
      <c r="G89" s="4">
        <v>0.02</v>
      </c>
      <c r="H89" s="4">
        <f t="shared" si="2"/>
        <v>50</v>
      </c>
      <c r="I89" s="4">
        <f t="shared" si="3"/>
        <v>0</v>
      </c>
      <c r="K89" s="5" t="s">
        <v>47</v>
      </c>
    </row>
    <row r="90" spans="1:11" ht="18.75" customHeight="1" x14ac:dyDescent="0.2">
      <c r="A90" s="7" t="s">
        <v>92</v>
      </c>
      <c r="B90" s="7" t="s">
        <v>94</v>
      </c>
      <c r="C90" s="7">
        <v>1.4999999999999999E-2</v>
      </c>
      <c r="D90" s="8" t="s">
        <v>100</v>
      </c>
      <c r="E90" s="4">
        <v>1</v>
      </c>
      <c r="F90" s="4">
        <v>0</v>
      </c>
      <c r="G90" s="4">
        <v>0.02</v>
      </c>
      <c r="H90" s="4">
        <f>IF(D90="Trapezoidal",((E90-F90)/2)/G90,IF(D90="Triangular",E90/G90,0))</f>
        <v>50</v>
      </c>
      <c r="I90" s="4">
        <f>IF(D90="Trapezoidal",((E90-F90)/2)/G90,IF(D90="Triangular",F90/G90,0))</f>
        <v>0</v>
      </c>
      <c r="K90" s="5" t="s">
        <v>47</v>
      </c>
    </row>
    <row r="91" spans="1:11" ht="18.75" customHeight="1" x14ac:dyDescent="0.2">
      <c r="A91" s="7" t="s">
        <v>199</v>
      </c>
      <c r="B91" s="7" t="s">
        <v>98</v>
      </c>
      <c r="C91" s="7">
        <v>1.4999999999999999E-2</v>
      </c>
      <c r="D91" s="8" t="s">
        <v>100</v>
      </c>
      <c r="E91" s="4">
        <v>0.5</v>
      </c>
      <c r="F91" s="4">
        <v>0.05</v>
      </c>
      <c r="G91" s="4">
        <v>0.12</v>
      </c>
      <c r="H91" s="4">
        <f>IF(D91="Trapezoidal",((E91-F91)/2)/G91,IF(D91="Triangular",E91/G91,0))</f>
        <v>4.166666666666667</v>
      </c>
      <c r="I91" s="4">
        <f>IF(D91="Trapezoidal",((E91-F91)/2)/G91,IF(D91="Triangular",F91/G91,0))</f>
        <v>0.41666666666666669</v>
      </c>
      <c r="K91" s="6" t="s">
        <v>207</v>
      </c>
    </row>
    <row r="92" spans="1:11" ht="18.75" customHeight="1" x14ac:dyDescent="0.2">
      <c r="A92" s="9" t="s">
        <v>255</v>
      </c>
      <c r="B92" s="7" t="s">
        <v>98</v>
      </c>
      <c r="C92" s="7">
        <v>1.4999999999999999E-2</v>
      </c>
      <c r="D92" s="8" t="s">
        <v>100</v>
      </c>
      <c r="E92" s="4">
        <v>0.68</v>
      </c>
      <c r="F92" s="4">
        <v>0.12</v>
      </c>
      <c r="G92" s="4">
        <v>0.17</v>
      </c>
      <c r="H92" s="4">
        <f>IF(D92="Trapezoidal",((E92-F92)/2)/G92,IF(D92="Triangular",E92/G92,0))</f>
        <v>4</v>
      </c>
      <c r="I92" s="4">
        <f>IF(D92="Trapezoidal",((E92-F92)/2)/G92,IF(D92="Triangular",F92/G92,0))</f>
        <v>0.70588235294117641</v>
      </c>
      <c r="K92" s="134" t="s">
        <v>256</v>
      </c>
    </row>
    <row r="93" spans="1:11" ht="18.75" customHeight="1" x14ac:dyDescent="0.2">
      <c r="A93" s="9" t="s">
        <v>259</v>
      </c>
      <c r="B93" s="7" t="s">
        <v>98</v>
      </c>
      <c r="C93" s="7">
        <v>1.4999999999999999E-2</v>
      </c>
      <c r="D93" s="8" t="s">
        <v>100</v>
      </c>
      <c r="E93" s="4">
        <v>0.8</v>
      </c>
      <c r="F93" s="4">
        <v>0.2</v>
      </c>
      <c r="G93" s="4">
        <v>0.2</v>
      </c>
      <c r="H93" s="4">
        <f>IF(D93="Trapezoidal",((E93-F93)/2)/G93,IF(D93="Triangular",E93/G93,0))</f>
        <v>4</v>
      </c>
      <c r="I93" s="4">
        <f>IF(D93="Trapezoidal",((E93-F93)/2)/G93,IF(D93="Triangular",F93/G93,0))</f>
        <v>1</v>
      </c>
      <c r="K93" s="134" t="s">
        <v>260</v>
      </c>
    </row>
    <row r="94" spans="1:11" ht="18.75" customHeight="1" x14ac:dyDescent="0.2">
      <c r="A94" s="7"/>
      <c r="B94" s="7"/>
      <c r="C94" s="7"/>
      <c r="D94" s="8"/>
      <c r="E94" s="4"/>
      <c r="F94" s="4"/>
      <c r="G94" s="4"/>
      <c r="H94" s="4"/>
      <c r="I94" s="4"/>
      <c r="K94" s="6"/>
    </row>
    <row r="95" spans="1:11" ht="18.75" customHeight="1" x14ac:dyDescent="0.2">
      <c r="A95" s="7"/>
      <c r="B95" s="7"/>
      <c r="C95" s="7"/>
      <c r="D95" s="8"/>
      <c r="E95" s="4"/>
      <c r="F95" s="4"/>
      <c r="G95" s="4"/>
      <c r="H95" s="3"/>
      <c r="I95" s="3"/>
      <c r="K95" s="6"/>
    </row>
    <row r="96" spans="1:11" ht="18.75" customHeight="1" x14ac:dyDescent="0.2">
      <c r="A96" s="16" t="s">
        <v>251</v>
      </c>
      <c r="B96" s="5" t="s">
        <v>98</v>
      </c>
      <c r="C96" s="16">
        <v>1.2999999999999999E-2</v>
      </c>
      <c r="D96" s="17" t="s">
        <v>108</v>
      </c>
      <c r="G96" s="5">
        <f>K96*0.85</f>
        <v>0.34</v>
      </c>
      <c r="K96" s="18">
        <v>0.4</v>
      </c>
    </row>
    <row r="97" spans="1:11" x14ac:dyDescent="0.2">
      <c r="A97" s="16" t="s">
        <v>237</v>
      </c>
      <c r="B97" s="5" t="s">
        <v>98</v>
      </c>
      <c r="C97" s="16">
        <v>1.2999999999999999E-2</v>
      </c>
      <c r="D97" s="17" t="s">
        <v>108</v>
      </c>
      <c r="G97" s="5">
        <f>K97*0.85</f>
        <v>0.51</v>
      </c>
      <c r="K97" s="18">
        <v>0.6</v>
      </c>
    </row>
    <row r="98" spans="1:11" x14ac:dyDescent="0.2">
      <c r="A98" s="16" t="s">
        <v>238</v>
      </c>
      <c r="B98" s="5" t="s">
        <v>98</v>
      </c>
      <c r="C98" s="16">
        <v>1.2999999999999999E-2</v>
      </c>
      <c r="D98" s="17" t="s">
        <v>108</v>
      </c>
      <c r="G98" s="5">
        <f t="shared" ref="G98:G99" si="6">K98*0.85</f>
        <v>0.68</v>
      </c>
      <c r="K98" s="18">
        <v>0.8</v>
      </c>
    </row>
    <row r="99" spans="1:11" x14ac:dyDescent="0.2">
      <c r="A99" s="16" t="s">
        <v>239</v>
      </c>
      <c r="B99" s="5" t="s">
        <v>98</v>
      </c>
      <c r="C99" s="16">
        <v>1.2999999999999999E-2</v>
      </c>
      <c r="D99" s="17" t="s">
        <v>108</v>
      </c>
      <c r="G99" s="5">
        <f t="shared" si="6"/>
        <v>0.85</v>
      </c>
      <c r="K99" s="18">
        <v>1</v>
      </c>
    </row>
  </sheetData>
  <mergeCells count="7">
    <mergeCell ref="A1:I1"/>
    <mergeCell ref="H4:I5"/>
    <mergeCell ref="E3:I3"/>
    <mergeCell ref="B3:D3"/>
    <mergeCell ref="A3:A5"/>
    <mergeCell ref="B4:B5"/>
    <mergeCell ref="D4:D5"/>
  </mergeCells>
  <phoneticPr fontId="2" type="noConversion"/>
  <printOptions horizontalCentered="1"/>
  <pageMargins left="0.19685039370078741" right="0.19685039370078741" top="0.19685039370078741" bottom="1.1811023622047245" header="0.19685039370078741" footer="0.19685039370078741"/>
  <pageSetup paperSize="9" scale="93" fitToHeight="0" orientation="portrait" horizontalDpi="300" verticalDpi="300" r:id="rId1"/>
  <headerFooter alignWithMargins="0"/>
  <rowBreaks count="1" manualBreakCount="1">
    <brk id="4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5484B-887A-4515-82FB-A4B85E2777D5}">
  <dimension ref="B2:G18"/>
  <sheetViews>
    <sheetView workbookViewId="0">
      <selection activeCell="D19" sqref="D19"/>
    </sheetView>
  </sheetViews>
  <sheetFormatPr defaultRowHeight="12.75" x14ac:dyDescent="0.2"/>
  <cols>
    <col min="2" max="2" width="14.7109375" customWidth="1"/>
    <col min="3" max="3" width="17.140625" customWidth="1"/>
    <col min="4" max="4" width="13.5703125" customWidth="1"/>
    <col min="5" max="5" width="16.42578125" customWidth="1"/>
    <col min="6" max="6" width="15.140625" customWidth="1"/>
    <col min="7" max="7" width="18.5703125" customWidth="1"/>
  </cols>
  <sheetData>
    <row r="2" spans="2:7" x14ac:dyDescent="0.2">
      <c r="B2" s="137" t="s">
        <v>266</v>
      </c>
      <c r="C2" s="137" t="s">
        <v>265</v>
      </c>
      <c r="D2" s="137" t="s">
        <v>267</v>
      </c>
      <c r="E2" s="137" t="s">
        <v>268</v>
      </c>
      <c r="F2" s="137" t="s">
        <v>269</v>
      </c>
      <c r="G2" s="137" t="s">
        <v>270</v>
      </c>
    </row>
    <row r="3" spans="2:7" x14ac:dyDescent="0.2">
      <c r="B3">
        <v>14.06</v>
      </c>
      <c r="C3">
        <v>10</v>
      </c>
      <c r="D3">
        <v>84.8</v>
      </c>
      <c r="E3">
        <v>8</v>
      </c>
      <c r="F3">
        <v>7</v>
      </c>
      <c r="G3">
        <v>1</v>
      </c>
    </row>
    <row r="4" spans="2:7" x14ac:dyDescent="0.2">
      <c r="B4">
        <v>8.48</v>
      </c>
    </row>
    <row r="5" spans="2:7" x14ac:dyDescent="0.2">
      <c r="B5">
        <v>5.72</v>
      </c>
    </row>
    <row r="6" spans="2:7" x14ac:dyDescent="0.2">
      <c r="B6">
        <v>4.99</v>
      </c>
    </row>
    <row r="7" spans="2:7" x14ac:dyDescent="0.2">
      <c r="B7">
        <v>4.71</v>
      </c>
    </row>
    <row r="8" spans="2:7" x14ac:dyDescent="0.2">
      <c r="B8">
        <v>6.98</v>
      </c>
    </row>
    <row r="9" spans="2:7" x14ac:dyDescent="0.2">
      <c r="B9">
        <v>7.08</v>
      </c>
    </row>
    <row r="10" spans="2:7" x14ac:dyDescent="0.2">
      <c r="B10">
        <v>9.83</v>
      </c>
    </row>
    <row r="11" spans="2:7" x14ac:dyDescent="0.2">
      <c r="B11">
        <v>11.24</v>
      </c>
    </row>
    <row r="12" spans="2:7" x14ac:dyDescent="0.2">
      <c r="B12">
        <v>10.23</v>
      </c>
    </row>
    <row r="13" spans="2:7" x14ac:dyDescent="0.2">
      <c r="B13">
        <v>11.38</v>
      </c>
    </row>
    <row r="14" spans="2:7" x14ac:dyDescent="0.2">
      <c r="B14">
        <v>18.690000000000001</v>
      </c>
    </row>
    <row r="15" spans="2:7" x14ac:dyDescent="0.2">
      <c r="B15">
        <v>18.690000000000001</v>
      </c>
    </row>
    <row r="16" spans="2:7" x14ac:dyDescent="0.2">
      <c r="B16">
        <v>18.690000000000001</v>
      </c>
    </row>
    <row r="17" spans="2:2" x14ac:dyDescent="0.2">
      <c r="B17">
        <v>14.18</v>
      </c>
    </row>
    <row r="18" spans="2:2" x14ac:dyDescent="0.2">
      <c r="B18" s="138">
        <f>SUM(B3:B17)</f>
        <v>164.95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superficial</vt:lpstr>
      <vt:lpstr>TIPOS</vt:lpstr>
      <vt:lpstr>Planilha1</vt:lpstr>
      <vt:lpstr>superficial!Area_de_impressao</vt:lpstr>
      <vt:lpstr>TIPOS!Area_de_impressao</vt:lpstr>
      <vt:lpstr>superficial!Titulos_de_impressao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bruno.ribeiro</dc:creator>
  <cp:lastModifiedBy>bruno.ribeiro</cp:lastModifiedBy>
  <cp:lastPrinted>2025-07-31T19:21:27Z</cp:lastPrinted>
  <dcterms:created xsi:type="dcterms:W3CDTF">2016-06-10T13:57:54Z</dcterms:created>
  <dcterms:modified xsi:type="dcterms:W3CDTF">2025-07-31T19:24:12Z</dcterms:modified>
</cp:coreProperties>
</file>