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Q:\CEEP\Compartilhada\COPE\Indicadores Econômicos\INDUSTRIA\"/>
    </mc:Choice>
  </mc:AlternateContent>
  <xr:revisionPtr revIDLastSave="0" documentId="13_ncr:1_{097FAF16-03E1-4B13-98B0-06288E64F4E4}" xr6:coauthVersionLast="47" xr6:coauthVersionMax="47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controle" sheetId="4" state="hidden" r:id="rId1"/>
    <sheet name="dados" sheetId="1" state="hidden" r:id="rId2"/>
    <sheet name="dados_acumulados" sheetId="6" state="hidden" r:id="rId3"/>
    <sheet name="painel_industria" sheetId="3" r:id="rId4"/>
    <sheet name="indicadores_industriais" sheetId="5" r:id="rId5"/>
  </sheets>
  <definedNames>
    <definedName name="_xlnm._FilterDatabase" localSheetId="4" hidden="1">indicadores_industriais!$A$4:$E$42</definedName>
    <definedName name="lista_comercio">controle!$H$3:$H$38</definedName>
    <definedName name="lista_ind">controle!$E$3:$E$38</definedName>
    <definedName name="lista_serviços">controle!$J$3:$J$38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5" l="1"/>
  <c r="M93" i="5"/>
  <c r="M94" i="5"/>
  <c r="M95" i="5"/>
  <c r="M96" i="5"/>
  <c r="M97" i="5"/>
  <c r="M98" i="5"/>
  <c r="M91" i="5"/>
  <c r="M78" i="5"/>
  <c r="M79" i="5"/>
  <c r="M80" i="5"/>
  <c r="M81" i="5"/>
  <c r="M82" i="5"/>
  <c r="M83" i="5"/>
  <c r="M84" i="5"/>
  <c r="M85" i="5"/>
  <c r="M86" i="5"/>
  <c r="M87" i="5"/>
  <c r="M88" i="5"/>
  <c r="M77" i="5"/>
  <c r="M76" i="5" s="1"/>
  <c r="M74" i="5"/>
  <c r="M62" i="5" s="1"/>
  <c r="R90" i="5"/>
  <c r="S90" i="5"/>
  <c r="Q90" i="5"/>
  <c r="P90" i="5"/>
  <c r="O90" i="5"/>
  <c r="N90" i="5"/>
  <c r="L90" i="5"/>
  <c r="K90" i="5"/>
  <c r="J90" i="5"/>
  <c r="I90" i="5"/>
  <c r="I91" i="5"/>
  <c r="I92" i="5"/>
  <c r="I93" i="5"/>
  <c r="I94" i="5"/>
  <c r="I95" i="5"/>
  <c r="I96" i="5"/>
  <c r="I97" i="5"/>
  <c r="I98" i="5"/>
  <c r="H90" i="5"/>
  <c r="G90" i="5"/>
  <c r="F90" i="5"/>
  <c r="E90" i="5"/>
  <c r="D90" i="5"/>
  <c r="C90" i="5"/>
  <c r="S76" i="5"/>
  <c r="R76" i="5"/>
  <c r="Q76" i="5"/>
  <c r="P76" i="5"/>
  <c r="O76" i="5"/>
  <c r="N76" i="5"/>
  <c r="L76" i="5"/>
  <c r="K76" i="5"/>
  <c r="J76" i="5"/>
  <c r="I76" i="5"/>
  <c r="H76" i="5"/>
  <c r="G76" i="5"/>
  <c r="F76" i="5"/>
  <c r="E76" i="5"/>
  <c r="D76" i="5"/>
  <c r="C76" i="5"/>
  <c r="S62" i="5"/>
  <c r="R62" i="5"/>
  <c r="Q62" i="5"/>
  <c r="P62" i="5"/>
  <c r="O62" i="5"/>
  <c r="N62" i="5"/>
  <c r="L62" i="5"/>
  <c r="K62" i="5"/>
  <c r="J62" i="5"/>
  <c r="I62" i="5"/>
  <c r="H62" i="5"/>
  <c r="G62" i="5"/>
  <c r="F62" i="5"/>
  <c r="E62" i="5"/>
  <c r="D62" i="5"/>
  <c r="C62" i="5"/>
  <c r="K78" i="5"/>
  <c r="L78" i="5"/>
  <c r="N78" i="5"/>
  <c r="O78" i="5"/>
  <c r="P78" i="5"/>
  <c r="Q78" i="5"/>
  <c r="R78" i="5"/>
  <c r="S78" i="5"/>
  <c r="K79" i="5"/>
  <c r="L79" i="5"/>
  <c r="N79" i="5"/>
  <c r="O79" i="5"/>
  <c r="P79" i="5"/>
  <c r="Q79" i="5"/>
  <c r="R79" i="5"/>
  <c r="S79" i="5"/>
  <c r="K80" i="5"/>
  <c r="L80" i="5"/>
  <c r="N80" i="5"/>
  <c r="O80" i="5"/>
  <c r="P80" i="5"/>
  <c r="Q80" i="5"/>
  <c r="R80" i="5"/>
  <c r="S80" i="5"/>
  <c r="K81" i="5"/>
  <c r="L81" i="5"/>
  <c r="N81" i="5"/>
  <c r="O81" i="5"/>
  <c r="P81" i="5"/>
  <c r="Q81" i="5"/>
  <c r="R81" i="5"/>
  <c r="S81" i="5"/>
  <c r="K82" i="5"/>
  <c r="L82" i="5"/>
  <c r="N82" i="5"/>
  <c r="O82" i="5"/>
  <c r="P82" i="5"/>
  <c r="Q82" i="5"/>
  <c r="R82" i="5"/>
  <c r="S82" i="5"/>
  <c r="K83" i="5"/>
  <c r="L83" i="5"/>
  <c r="N83" i="5"/>
  <c r="O83" i="5"/>
  <c r="P83" i="5"/>
  <c r="Q83" i="5"/>
  <c r="R83" i="5"/>
  <c r="S83" i="5"/>
  <c r="K84" i="5"/>
  <c r="L84" i="5"/>
  <c r="N84" i="5"/>
  <c r="O84" i="5"/>
  <c r="P84" i="5"/>
  <c r="Q84" i="5"/>
  <c r="R84" i="5"/>
  <c r="S84" i="5"/>
  <c r="K85" i="5"/>
  <c r="L85" i="5"/>
  <c r="N85" i="5"/>
  <c r="O85" i="5"/>
  <c r="P85" i="5"/>
  <c r="Q85" i="5"/>
  <c r="R85" i="5"/>
  <c r="S85" i="5"/>
  <c r="K86" i="5"/>
  <c r="L86" i="5"/>
  <c r="N86" i="5"/>
  <c r="O86" i="5"/>
  <c r="P86" i="5"/>
  <c r="Q86" i="5"/>
  <c r="R86" i="5"/>
  <c r="S86" i="5"/>
  <c r="K87" i="5"/>
  <c r="L87" i="5"/>
  <c r="N87" i="5"/>
  <c r="O87" i="5"/>
  <c r="P87" i="5"/>
  <c r="Q87" i="5"/>
  <c r="R87" i="5"/>
  <c r="S87" i="5"/>
  <c r="K88" i="5"/>
  <c r="L88" i="5"/>
  <c r="N88" i="5"/>
  <c r="O88" i="5"/>
  <c r="P88" i="5"/>
  <c r="Q88" i="5"/>
  <c r="R88" i="5"/>
  <c r="S88" i="5"/>
  <c r="K91" i="5"/>
  <c r="L91" i="5"/>
  <c r="N91" i="5"/>
  <c r="O91" i="5"/>
  <c r="P91" i="5"/>
  <c r="Q91" i="5"/>
  <c r="R91" i="5"/>
  <c r="S91" i="5"/>
  <c r="K92" i="5"/>
  <c r="L92" i="5"/>
  <c r="N92" i="5"/>
  <c r="O92" i="5"/>
  <c r="P92" i="5"/>
  <c r="Q92" i="5"/>
  <c r="R92" i="5"/>
  <c r="S92" i="5"/>
  <c r="K93" i="5"/>
  <c r="L93" i="5"/>
  <c r="N93" i="5"/>
  <c r="O93" i="5"/>
  <c r="P93" i="5"/>
  <c r="Q93" i="5"/>
  <c r="R93" i="5"/>
  <c r="S93" i="5"/>
  <c r="K94" i="5"/>
  <c r="L94" i="5"/>
  <c r="N94" i="5"/>
  <c r="O94" i="5"/>
  <c r="P94" i="5"/>
  <c r="Q94" i="5"/>
  <c r="R94" i="5"/>
  <c r="S94" i="5"/>
  <c r="K95" i="5"/>
  <c r="L95" i="5"/>
  <c r="N95" i="5"/>
  <c r="O95" i="5"/>
  <c r="P95" i="5"/>
  <c r="Q95" i="5"/>
  <c r="R95" i="5"/>
  <c r="S95" i="5"/>
  <c r="K96" i="5"/>
  <c r="L96" i="5"/>
  <c r="N96" i="5"/>
  <c r="O96" i="5"/>
  <c r="P96" i="5"/>
  <c r="Q96" i="5"/>
  <c r="R96" i="5"/>
  <c r="S96" i="5"/>
  <c r="K97" i="5"/>
  <c r="L97" i="5"/>
  <c r="N97" i="5"/>
  <c r="O97" i="5"/>
  <c r="P97" i="5"/>
  <c r="Q97" i="5"/>
  <c r="R97" i="5"/>
  <c r="S97" i="5"/>
  <c r="K98" i="5"/>
  <c r="L98" i="5"/>
  <c r="N98" i="5"/>
  <c r="O98" i="5"/>
  <c r="P98" i="5"/>
  <c r="Q98" i="5"/>
  <c r="R98" i="5"/>
  <c r="S98" i="5"/>
  <c r="S77" i="5"/>
  <c r="R77" i="5"/>
  <c r="Q77" i="5"/>
  <c r="P77" i="5"/>
  <c r="O77" i="5"/>
  <c r="N77" i="5"/>
  <c r="L77" i="5"/>
  <c r="K77" i="5"/>
  <c r="J78" i="5"/>
  <c r="J79" i="5"/>
  <c r="J80" i="5"/>
  <c r="J81" i="5"/>
  <c r="J82" i="5"/>
  <c r="J83" i="5"/>
  <c r="J84" i="5"/>
  <c r="J85" i="5"/>
  <c r="J86" i="5"/>
  <c r="J87" i="5"/>
  <c r="J88" i="5"/>
  <c r="J91" i="5"/>
  <c r="J92" i="5"/>
  <c r="J93" i="5"/>
  <c r="J94" i="5"/>
  <c r="J95" i="5"/>
  <c r="J96" i="5"/>
  <c r="J97" i="5"/>
  <c r="J98" i="5"/>
  <c r="J77" i="5"/>
  <c r="I78" i="5"/>
  <c r="I79" i="5"/>
  <c r="I80" i="5"/>
  <c r="I81" i="5"/>
  <c r="I82" i="5"/>
  <c r="I83" i="5"/>
  <c r="I84" i="5"/>
  <c r="I85" i="5"/>
  <c r="I86" i="5"/>
  <c r="I87" i="5"/>
  <c r="I88" i="5"/>
  <c r="I77" i="5"/>
  <c r="H78" i="5"/>
  <c r="H79" i="5"/>
  <c r="H80" i="5"/>
  <c r="H81" i="5"/>
  <c r="H82" i="5"/>
  <c r="H83" i="5"/>
  <c r="H84" i="5"/>
  <c r="H85" i="5"/>
  <c r="H86" i="5"/>
  <c r="H87" i="5"/>
  <c r="H88" i="5"/>
  <c r="H91" i="5"/>
  <c r="H92" i="5"/>
  <c r="H93" i="5"/>
  <c r="H94" i="5"/>
  <c r="H95" i="5"/>
  <c r="H96" i="5"/>
  <c r="H97" i="5"/>
  <c r="H98" i="5"/>
  <c r="H77" i="5"/>
  <c r="G78" i="5"/>
  <c r="G79" i="5"/>
  <c r="G80" i="5"/>
  <c r="G81" i="5"/>
  <c r="G82" i="5"/>
  <c r="G83" i="5"/>
  <c r="G84" i="5"/>
  <c r="G85" i="5"/>
  <c r="G86" i="5"/>
  <c r="G87" i="5"/>
  <c r="G88" i="5"/>
  <c r="G91" i="5"/>
  <c r="G92" i="5"/>
  <c r="G93" i="5"/>
  <c r="G94" i="5"/>
  <c r="G95" i="5"/>
  <c r="G96" i="5"/>
  <c r="G97" i="5"/>
  <c r="G98" i="5"/>
  <c r="G77" i="5"/>
  <c r="F78" i="5"/>
  <c r="F79" i="5"/>
  <c r="F80" i="5"/>
  <c r="F81" i="5"/>
  <c r="F82" i="5"/>
  <c r="F83" i="5"/>
  <c r="F84" i="5"/>
  <c r="F85" i="5"/>
  <c r="F86" i="5"/>
  <c r="F87" i="5"/>
  <c r="F88" i="5"/>
  <c r="F91" i="5"/>
  <c r="F92" i="5"/>
  <c r="F93" i="5"/>
  <c r="F94" i="5"/>
  <c r="F95" i="5"/>
  <c r="F96" i="5"/>
  <c r="F97" i="5"/>
  <c r="F98" i="5"/>
  <c r="F77" i="5"/>
  <c r="E78" i="5"/>
  <c r="E79" i="5"/>
  <c r="E80" i="5"/>
  <c r="E81" i="5"/>
  <c r="E82" i="5"/>
  <c r="E83" i="5"/>
  <c r="E84" i="5"/>
  <c r="E85" i="5"/>
  <c r="E86" i="5"/>
  <c r="E87" i="5"/>
  <c r="E88" i="5"/>
  <c r="E91" i="5"/>
  <c r="E92" i="5"/>
  <c r="E93" i="5"/>
  <c r="E94" i="5"/>
  <c r="E95" i="5"/>
  <c r="E96" i="5"/>
  <c r="E97" i="5"/>
  <c r="E98" i="5"/>
  <c r="E77" i="5"/>
  <c r="D78" i="5"/>
  <c r="D79" i="5"/>
  <c r="D80" i="5"/>
  <c r="D81" i="5"/>
  <c r="D82" i="5"/>
  <c r="D83" i="5"/>
  <c r="D84" i="5"/>
  <c r="D85" i="5"/>
  <c r="D86" i="5"/>
  <c r="D87" i="5"/>
  <c r="D88" i="5"/>
  <c r="D91" i="5"/>
  <c r="D92" i="5"/>
  <c r="D93" i="5"/>
  <c r="D94" i="5"/>
  <c r="D95" i="5"/>
  <c r="D96" i="5"/>
  <c r="D97" i="5"/>
  <c r="D98" i="5"/>
  <c r="D77" i="5"/>
  <c r="C78" i="5"/>
  <c r="C79" i="5"/>
  <c r="C80" i="5"/>
  <c r="C81" i="5"/>
  <c r="C82" i="5"/>
  <c r="C83" i="5"/>
  <c r="C84" i="5"/>
  <c r="C85" i="5"/>
  <c r="C86" i="5"/>
  <c r="C87" i="5"/>
  <c r="C88" i="5"/>
  <c r="C91" i="5"/>
  <c r="C92" i="5"/>
  <c r="C93" i="5"/>
  <c r="C94" i="5"/>
  <c r="C95" i="5"/>
  <c r="C96" i="5"/>
  <c r="C97" i="5"/>
  <c r="C98" i="5"/>
  <c r="C77" i="5"/>
  <c r="S64" i="5"/>
  <c r="S65" i="5"/>
  <c r="S66" i="5"/>
  <c r="S67" i="5"/>
  <c r="S68" i="5"/>
  <c r="S69" i="5"/>
  <c r="S70" i="5"/>
  <c r="S71" i="5"/>
  <c r="S72" i="5"/>
  <c r="S73" i="5"/>
  <c r="S74" i="5"/>
  <c r="S63" i="5"/>
  <c r="R64" i="5"/>
  <c r="R65" i="5"/>
  <c r="R66" i="5"/>
  <c r="R67" i="5"/>
  <c r="R68" i="5"/>
  <c r="R69" i="5"/>
  <c r="R70" i="5"/>
  <c r="R71" i="5"/>
  <c r="R72" i="5"/>
  <c r="R73" i="5"/>
  <c r="R74" i="5"/>
  <c r="R63" i="5"/>
  <c r="Q64" i="5"/>
  <c r="Q65" i="5"/>
  <c r="Q66" i="5"/>
  <c r="Q67" i="5"/>
  <c r="Q68" i="5"/>
  <c r="Q69" i="5"/>
  <c r="Q70" i="5"/>
  <c r="Q71" i="5"/>
  <c r="Q72" i="5"/>
  <c r="Q73" i="5"/>
  <c r="Q74" i="5"/>
  <c r="Q63" i="5"/>
  <c r="P64" i="5"/>
  <c r="P65" i="5"/>
  <c r="P66" i="5"/>
  <c r="P67" i="5"/>
  <c r="P68" i="5"/>
  <c r="P69" i="5"/>
  <c r="P70" i="5"/>
  <c r="P71" i="5"/>
  <c r="P72" i="5"/>
  <c r="P73" i="5"/>
  <c r="P74" i="5"/>
  <c r="P63" i="5"/>
  <c r="O64" i="5"/>
  <c r="O65" i="5"/>
  <c r="O66" i="5"/>
  <c r="O67" i="5"/>
  <c r="O68" i="5"/>
  <c r="O69" i="5"/>
  <c r="O70" i="5"/>
  <c r="O71" i="5"/>
  <c r="O72" i="5"/>
  <c r="O73" i="5"/>
  <c r="O74" i="5"/>
  <c r="O63" i="5"/>
  <c r="N64" i="5"/>
  <c r="N65" i="5"/>
  <c r="N66" i="5"/>
  <c r="N67" i="5"/>
  <c r="N68" i="5"/>
  <c r="N69" i="5"/>
  <c r="N70" i="5"/>
  <c r="N71" i="5"/>
  <c r="N72" i="5"/>
  <c r="N73" i="5"/>
  <c r="N74" i="5"/>
  <c r="N63" i="5"/>
  <c r="M64" i="5"/>
  <c r="M65" i="5"/>
  <c r="M66" i="5"/>
  <c r="M67" i="5"/>
  <c r="M68" i="5"/>
  <c r="M69" i="5"/>
  <c r="M70" i="5"/>
  <c r="M71" i="5"/>
  <c r="M72" i="5"/>
  <c r="M73" i="5"/>
  <c r="M63" i="5"/>
  <c r="L64" i="5"/>
  <c r="L65" i="5"/>
  <c r="L66" i="5"/>
  <c r="L67" i="5"/>
  <c r="L68" i="5"/>
  <c r="L69" i="5"/>
  <c r="L70" i="5"/>
  <c r="L71" i="5"/>
  <c r="L72" i="5"/>
  <c r="L73" i="5"/>
  <c r="L74" i="5"/>
  <c r="L63" i="5"/>
  <c r="K64" i="5"/>
  <c r="K65" i="5"/>
  <c r="K66" i="5"/>
  <c r="K67" i="5"/>
  <c r="K68" i="5"/>
  <c r="K69" i="5"/>
  <c r="K70" i="5"/>
  <c r="K71" i="5"/>
  <c r="K72" i="5"/>
  <c r="K73" i="5"/>
  <c r="K74" i="5"/>
  <c r="K63" i="5"/>
  <c r="J64" i="5"/>
  <c r="J65" i="5"/>
  <c r="J66" i="5"/>
  <c r="J67" i="5"/>
  <c r="J68" i="5"/>
  <c r="J69" i="5"/>
  <c r="J70" i="5"/>
  <c r="J71" i="5"/>
  <c r="J72" i="5"/>
  <c r="J73" i="5"/>
  <c r="J74" i="5"/>
  <c r="J63" i="5"/>
  <c r="I64" i="5"/>
  <c r="I65" i="5"/>
  <c r="I66" i="5"/>
  <c r="I67" i="5"/>
  <c r="I68" i="5"/>
  <c r="I69" i="5"/>
  <c r="I70" i="5"/>
  <c r="I71" i="5"/>
  <c r="I72" i="5"/>
  <c r="I73" i="5"/>
  <c r="I74" i="5"/>
  <c r="I63" i="5"/>
  <c r="H64" i="5"/>
  <c r="H65" i="5"/>
  <c r="H66" i="5"/>
  <c r="H67" i="5"/>
  <c r="H68" i="5"/>
  <c r="H69" i="5"/>
  <c r="H70" i="5"/>
  <c r="H71" i="5"/>
  <c r="H72" i="5"/>
  <c r="H73" i="5"/>
  <c r="H74" i="5"/>
  <c r="H63" i="5"/>
  <c r="G64" i="5"/>
  <c r="G65" i="5"/>
  <c r="G66" i="5"/>
  <c r="G67" i="5"/>
  <c r="G68" i="5"/>
  <c r="G69" i="5"/>
  <c r="G70" i="5"/>
  <c r="G71" i="5"/>
  <c r="G72" i="5"/>
  <c r="G73" i="5"/>
  <c r="G74" i="5"/>
  <c r="G63" i="5"/>
  <c r="F64" i="5"/>
  <c r="F65" i="5"/>
  <c r="F66" i="5"/>
  <c r="F67" i="5"/>
  <c r="F68" i="5"/>
  <c r="F69" i="5"/>
  <c r="F70" i="5"/>
  <c r="F71" i="5"/>
  <c r="F72" i="5"/>
  <c r="F73" i="5"/>
  <c r="F74" i="5"/>
  <c r="F63" i="5"/>
  <c r="E64" i="5"/>
  <c r="E65" i="5"/>
  <c r="E66" i="5"/>
  <c r="E67" i="5"/>
  <c r="E68" i="5"/>
  <c r="E69" i="5"/>
  <c r="E70" i="5"/>
  <c r="E71" i="5"/>
  <c r="E72" i="5"/>
  <c r="E73" i="5"/>
  <c r="E74" i="5"/>
  <c r="E63" i="5"/>
  <c r="D64" i="5"/>
  <c r="D65" i="5"/>
  <c r="D66" i="5"/>
  <c r="D67" i="5"/>
  <c r="D68" i="5"/>
  <c r="D69" i="5"/>
  <c r="D70" i="5"/>
  <c r="D71" i="5"/>
  <c r="D72" i="5"/>
  <c r="D73" i="5"/>
  <c r="D74" i="5"/>
  <c r="D63" i="5"/>
  <c r="S50" i="5"/>
  <c r="S51" i="5"/>
  <c r="S52" i="5"/>
  <c r="S53" i="5"/>
  <c r="S54" i="5"/>
  <c r="S55" i="5"/>
  <c r="S56" i="5"/>
  <c r="S57" i="5"/>
  <c r="S58" i="5"/>
  <c r="S59" i="5"/>
  <c r="S60" i="5"/>
  <c r="S49" i="5"/>
  <c r="R50" i="5"/>
  <c r="R51" i="5"/>
  <c r="R52" i="5"/>
  <c r="R53" i="5"/>
  <c r="R54" i="5"/>
  <c r="R55" i="5"/>
  <c r="R56" i="5"/>
  <c r="R57" i="5"/>
  <c r="R58" i="5"/>
  <c r="R59" i="5"/>
  <c r="R60" i="5"/>
  <c r="R49" i="5"/>
  <c r="Q50" i="5"/>
  <c r="Q51" i="5"/>
  <c r="Q52" i="5"/>
  <c r="Q53" i="5"/>
  <c r="Q54" i="5"/>
  <c r="Q55" i="5"/>
  <c r="Q56" i="5"/>
  <c r="Q57" i="5"/>
  <c r="Q58" i="5"/>
  <c r="Q59" i="5"/>
  <c r="Q60" i="5"/>
  <c r="Q49" i="5"/>
  <c r="P50" i="5"/>
  <c r="P51" i="5"/>
  <c r="P52" i="5"/>
  <c r="P53" i="5"/>
  <c r="P54" i="5"/>
  <c r="P55" i="5"/>
  <c r="P56" i="5"/>
  <c r="P57" i="5"/>
  <c r="P58" i="5"/>
  <c r="P59" i="5"/>
  <c r="P60" i="5"/>
  <c r="P49" i="5"/>
  <c r="O50" i="5"/>
  <c r="O51" i="5"/>
  <c r="O52" i="5"/>
  <c r="O53" i="5"/>
  <c r="O54" i="5"/>
  <c r="O55" i="5"/>
  <c r="O56" i="5"/>
  <c r="O57" i="5"/>
  <c r="O58" i="5"/>
  <c r="O59" i="5"/>
  <c r="O60" i="5"/>
  <c r="O49" i="5"/>
  <c r="N50" i="5"/>
  <c r="N51" i="5"/>
  <c r="N52" i="5"/>
  <c r="N53" i="5"/>
  <c r="N54" i="5"/>
  <c r="N55" i="5"/>
  <c r="N56" i="5"/>
  <c r="N57" i="5"/>
  <c r="N58" i="5"/>
  <c r="N59" i="5"/>
  <c r="N60" i="5"/>
  <c r="N49" i="5"/>
  <c r="M50" i="5"/>
  <c r="M51" i="5"/>
  <c r="M52" i="5"/>
  <c r="M53" i="5"/>
  <c r="M54" i="5"/>
  <c r="M55" i="5"/>
  <c r="M56" i="5"/>
  <c r="M57" i="5"/>
  <c r="M58" i="5"/>
  <c r="M59" i="5"/>
  <c r="M60" i="5"/>
  <c r="M49" i="5"/>
  <c r="L50" i="5"/>
  <c r="L51" i="5"/>
  <c r="L52" i="5"/>
  <c r="L53" i="5"/>
  <c r="L54" i="5"/>
  <c r="L55" i="5"/>
  <c r="L56" i="5"/>
  <c r="L57" i="5"/>
  <c r="L58" i="5"/>
  <c r="L59" i="5"/>
  <c r="L60" i="5"/>
  <c r="L49" i="5"/>
  <c r="K50" i="5"/>
  <c r="K51" i="5"/>
  <c r="K52" i="5"/>
  <c r="K53" i="5"/>
  <c r="K54" i="5"/>
  <c r="K55" i="5"/>
  <c r="K56" i="5"/>
  <c r="K57" i="5"/>
  <c r="K58" i="5"/>
  <c r="K59" i="5"/>
  <c r="K60" i="5"/>
  <c r="K49" i="5"/>
  <c r="J50" i="5"/>
  <c r="J51" i="5"/>
  <c r="J52" i="5"/>
  <c r="J53" i="5"/>
  <c r="J54" i="5"/>
  <c r="J55" i="5"/>
  <c r="J56" i="5"/>
  <c r="J57" i="5"/>
  <c r="J58" i="5"/>
  <c r="J59" i="5"/>
  <c r="J60" i="5"/>
  <c r="J49" i="5"/>
  <c r="I50" i="5"/>
  <c r="I51" i="5"/>
  <c r="I52" i="5"/>
  <c r="I53" i="5"/>
  <c r="I54" i="5"/>
  <c r="I55" i="5"/>
  <c r="I56" i="5"/>
  <c r="I57" i="5"/>
  <c r="I58" i="5"/>
  <c r="I59" i="5"/>
  <c r="I60" i="5"/>
  <c r="I49" i="5"/>
  <c r="H50" i="5"/>
  <c r="H51" i="5"/>
  <c r="H52" i="5"/>
  <c r="H53" i="5"/>
  <c r="H54" i="5"/>
  <c r="H55" i="5"/>
  <c r="H56" i="5"/>
  <c r="H57" i="5"/>
  <c r="H58" i="5"/>
  <c r="H59" i="5"/>
  <c r="H60" i="5"/>
  <c r="H49" i="5"/>
  <c r="G50" i="5"/>
  <c r="G51" i="5"/>
  <c r="G52" i="5"/>
  <c r="G53" i="5"/>
  <c r="G54" i="5"/>
  <c r="G55" i="5"/>
  <c r="G56" i="5"/>
  <c r="G57" i="5"/>
  <c r="G58" i="5"/>
  <c r="G59" i="5"/>
  <c r="G60" i="5"/>
  <c r="G49" i="5"/>
  <c r="F50" i="5"/>
  <c r="F51" i="5"/>
  <c r="F52" i="5"/>
  <c r="F53" i="5"/>
  <c r="F54" i="5"/>
  <c r="F55" i="5"/>
  <c r="F56" i="5"/>
  <c r="F57" i="5"/>
  <c r="F58" i="5"/>
  <c r="F59" i="5"/>
  <c r="F60" i="5"/>
  <c r="F49" i="5"/>
  <c r="E50" i="5"/>
  <c r="E51" i="5"/>
  <c r="E52" i="5"/>
  <c r="E53" i="5"/>
  <c r="E54" i="5"/>
  <c r="E55" i="5"/>
  <c r="E56" i="5"/>
  <c r="E57" i="5"/>
  <c r="E58" i="5"/>
  <c r="E59" i="5"/>
  <c r="E60" i="5"/>
  <c r="E49" i="5"/>
  <c r="D50" i="5"/>
  <c r="D51" i="5"/>
  <c r="D52" i="5"/>
  <c r="D53" i="5"/>
  <c r="D54" i="5"/>
  <c r="D55" i="5"/>
  <c r="D56" i="5"/>
  <c r="D57" i="5"/>
  <c r="D58" i="5"/>
  <c r="D59" i="5"/>
  <c r="D60" i="5"/>
  <c r="D49" i="5"/>
  <c r="A92" i="5"/>
  <c r="A93" i="5"/>
  <c r="A94" i="5"/>
  <c r="A95" i="5"/>
  <c r="A96" i="5"/>
  <c r="A97" i="5"/>
  <c r="A98" i="5"/>
  <c r="A91" i="5"/>
  <c r="A90" i="5" s="1"/>
  <c r="A76" i="5"/>
  <c r="A78" i="5"/>
  <c r="A79" i="5"/>
  <c r="A80" i="5"/>
  <c r="A81" i="5"/>
  <c r="A82" i="5"/>
  <c r="A83" i="5"/>
  <c r="A84" i="5"/>
  <c r="A85" i="5"/>
  <c r="A86" i="5"/>
  <c r="A87" i="5"/>
  <c r="A88" i="5"/>
  <c r="A77" i="5"/>
  <c r="C64" i="5"/>
  <c r="C65" i="5"/>
  <c r="C66" i="5"/>
  <c r="C67" i="5"/>
  <c r="C68" i="5"/>
  <c r="C69" i="5"/>
  <c r="C70" i="5"/>
  <c r="C71" i="5"/>
  <c r="C72" i="5"/>
  <c r="C73" i="5"/>
  <c r="C74" i="5"/>
  <c r="C63" i="5"/>
  <c r="C50" i="5"/>
  <c r="C51" i="5"/>
  <c r="C52" i="5"/>
  <c r="C53" i="5"/>
  <c r="C54" i="5"/>
  <c r="C55" i="5"/>
  <c r="C56" i="5"/>
  <c r="C57" i="5"/>
  <c r="C58" i="5"/>
  <c r="C59" i="5"/>
  <c r="C60" i="5"/>
  <c r="C49" i="5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G80" i="6" s="1"/>
  <c r="C80" i="6"/>
  <c r="D80" i="6"/>
  <c r="F80" i="6"/>
  <c r="H80" i="6"/>
  <c r="I80" i="6"/>
  <c r="J80" i="6"/>
  <c r="K80" i="6"/>
  <c r="L80" i="6"/>
  <c r="M80" i="6"/>
  <c r="N80" i="6"/>
  <c r="O80" i="6"/>
  <c r="Q80" i="6"/>
  <c r="R80" i="6"/>
  <c r="S80" i="6"/>
  <c r="T80" i="6"/>
  <c r="U80" i="6"/>
  <c r="B81" i="6"/>
  <c r="L81" i="6" s="1"/>
  <c r="C81" i="6"/>
  <c r="D81" i="6"/>
  <c r="E81" i="6"/>
  <c r="N81" i="6"/>
  <c r="O81" i="6"/>
  <c r="P81" i="6"/>
  <c r="Q81" i="6"/>
  <c r="B82" i="6"/>
  <c r="L82" i="6" s="1"/>
  <c r="C82" i="6"/>
  <c r="D82" i="6"/>
  <c r="E82" i="6"/>
  <c r="F82" i="6"/>
  <c r="G82" i="6"/>
  <c r="H82" i="6"/>
  <c r="I82" i="6"/>
  <c r="J82" i="6"/>
  <c r="K82" i="6"/>
  <c r="N82" i="6"/>
  <c r="O82" i="6"/>
  <c r="P82" i="6"/>
  <c r="Q82" i="6"/>
  <c r="R82" i="6"/>
  <c r="S82" i="6"/>
  <c r="T82" i="6"/>
  <c r="U82" i="6"/>
  <c r="B83" i="6"/>
  <c r="F83" i="6" s="1"/>
  <c r="C83" i="6"/>
  <c r="D83" i="6"/>
  <c r="J83" i="6"/>
  <c r="K83" i="6"/>
  <c r="L83" i="6"/>
  <c r="M83" i="6"/>
  <c r="N8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B74" i="6"/>
  <c r="J74" i="6" s="1"/>
  <c r="C74" i="6"/>
  <c r="N74" i="6" s="1"/>
  <c r="D74" i="6"/>
  <c r="E74" i="6"/>
  <c r="F74" i="6"/>
  <c r="G74" i="6"/>
  <c r="H74" i="6"/>
  <c r="I74" i="6"/>
  <c r="O74" i="6"/>
  <c r="P74" i="6"/>
  <c r="Q74" i="6"/>
  <c r="R74" i="6"/>
  <c r="S74" i="6"/>
  <c r="T74" i="6"/>
  <c r="U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B77" i="6"/>
  <c r="J77" i="6" s="1"/>
  <c r="C77" i="6"/>
  <c r="N77" i="6" s="1"/>
  <c r="D77" i="6"/>
  <c r="E77" i="6"/>
  <c r="F77" i="6"/>
  <c r="G77" i="6"/>
  <c r="H77" i="6"/>
  <c r="I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M90" i="5" l="1"/>
  <c r="J81" i="6"/>
  <c r="E80" i="6"/>
  <c r="M81" i="6"/>
  <c r="T83" i="6"/>
  <c r="H83" i="6"/>
  <c r="Q83" i="6"/>
  <c r="E83" i="6"/>
  <c r="M82" i="6"/>
  <c r="U81" i="6"/>
  <c r="I81" i="6"/>
  <c r="P83" i="6"/>
  <c r="T81" i="6"/>
  <c r="H81" i="6"/>
  <c r="P80" i="6"/>
  <c r="O83" i="6"/>
  <c r="S81" i="6"/>
  <c r="G81" i="6"/>
  <c r="R81" i="6"/>
  <c r="F81" i="6"/>
  <c r="U83" i="6"/>
  <c r="I83" i="6"/>
  <c r="K81" i="6"/>
  <c r="S83" i="6"/>
  <c r="G83" i="6"/>
  <c r="R83" i="6"/>
  <c r="L77" i="6"/>
  <c r="L74" i="6"/>
  <c r="M77" i="6"/>
  <c r="M74" i="6"/>
  <c r="K77" i="6"/>
  <c r="K74" i="6"/>
  <c r="B64" i="1" l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D63" i="6"/>
  <c r="D62" i="6"/>
  <c r="D60" i="6"/>
  <c r="D61" i="6"/>
  <c r="D57" i="6"/>
  <c r="D58" i="6"/>
  <c r="D59" i="6"/>
  <c r="D56" i="6"/>
  <c r="B56" i="1" l="1"/>
  <c r="C56" i="1"/>
  <c r="C56" i="6" s="1"/>
  <c r="B57" i="1"/>
  <c r="B57" i="6" s="1"/>
  <c r="C57" i="1"/>
  <c r="C57" i="6" s="1"/>
  <c r="B58" i="1"/>
  <c r="C58" i="1"/>
  <c r="C58" i="6" s="1"/>
  <c r="B59" i="1"/>
  <c r="B59" i="6" s="1"/>
  <c r="C59" i="1"/>
  <c r="B60" i="1"/>
  <c r="C60" i="1"/>
  <c r="C60" i="6" s="1"/>
  <c r="B61" i="1"/>
  <c r="B61" i="6" s="1"/>
  <c r="C61" i="1"/>
  <c r="C61" i="6" s="1"/>
  <c r="B62" i="1"/>
  <c r="C62" i="1"/>
  <c r="C62" i="6" s="1"/>
  <c r="B63" i="1"/>
  <c r="B63" i="6" s="1"/>
  <c r="C63" i="1"/>
  <c r="A61" i="1" l="1"/>
  <c r="A61" i="6" s="1"/>
  <c r="A60" i="1"/>
  <c r="A60" i="6" s="1"/>
  <c r="B60" i="6"/>
  <c r="A59" i="1"/>
  <c r="A59" i="6" s="1"/>
  <c r="C59" i="6"/>
  <c r="A63" i="1"/>
  <c r="A63" i="6" s="1"/>
  <c r="C63" i="6"/>
  <c r="A58" i="1"/>
  <c r="A58" i="6" s="1"/>
  <c r="B58" i="6"/>
  <c r="A62" i="1"/>
  <c r="A62" i="6" s="1"/>
  <c r="B62" i="6"/>
  <c r="A57" i="1"/>
  <c r="A57" i="6" s="1"/>
  <c r="A56" i="1"/>
  <c r="A56" i="6" s="1"/>
  <c r="B56" i="6"/>
  <c r="A67" i="5"/>
  <c r="A68" i="5"/>
  <c r="A69" i="5"/>
  <c r="A70" i="5"/>
  <c r="A71" i="5"/>
  <c r="A72" i="5"/>
  <c r="A73" i="5"/>
  <c r="A74" i="5"/>
  <c r="D52" i="6" l="1"/>
  <c r="D53" i="6"/>
  <c r="D54" i="6"/>
  <c r="D55" i="6"/>
  <c r="B52" i="1"/>
  <c r="B52" i="6" s="1"/>
  <c r="B53" i="1"/>
  <c r="B53" i="6" s="1"/>
  <c r="B54" i="1"/>
  <c r="A54" i="1" s="1"/>
  <c r="A54" i="6" s="1"/>
  <c r="B55" i="1"/>
  <c r="B55" i="6" s="1"/>
  <c r="C41" i="1"/>
  <c r="C42" i="1"/>
  <c r="C43" i="1"/>
  <c r="C44" i="1"/>
  <c r="C45" i="1"/>
  <c r="C46" i="1"/>
  <c r="C47" i="1"/>
  <c r="C48" i="1"/>
  <c r="C49" i="1"/>
  <c r="C50" i="1"/>
  <c r="C51" i="1"/>
  <c r="C52" i="1"/>
  <c r="C52" i="6" s="1"/>
  <c r="C53" i="1"/>
  <c r="C53" i="6" s="1"/>
  <c r="C54" i="1"/>
  <c r="C54" i="6" s="1"/>
  <c r="C55" i="1"/>
  <c r="C55" i="6" s="1"/>
  <c r="B54" i="6" l="1"/>
  <c r="A55" i="1"/>
  <c r="A55" i="6" s="1"/>
  <c r="A53" i="1"/>
  <c r="A53" i="6" s="1"/>
  <c r="A52" i="1"/>
  <c r="A52" i="6" s="1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A64" i="5"/>
  <c r="A65" i="5"/>
  <c r="A66" i="5"/>
  <c r="A63" i="5"/>
  <c r="A62" i="5" s="1"/>
  <c r="A50" i="5"/>
  <c r="A51" i="5"/>
  <c r="A52" i="5"/>
  <c r="A53" i="5"/>
  <c r="A54" i="5"/>
  <c r="A55" i="5"/>
  <c r="A56" i="5"/>
  <c r="A57" i="5"/>
  <c r="A58" i="5"/>
  <c r="A59" i="5"/>
  <c r="A60" i="5"/>
  <c r="A49" i="5"/>
  <c r="A48" i="5" s="1"/>
  <c r="A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S45" i="5" l="1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C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34" i="5" l="1"/>
  <c r="J20" i="5"/>
  <c r="L20" i="5"/>
  <c r="S34" i="5"/>
  <c r="O34" i="5"/>
  <c r="K34" i="5"/>
  <c r="G34" i="5"/>
  <c r="Q34" i="5"/>
  <c r="M34" i="5"/>
  <c r="I34" i="5"/>
  <c r="S6" i="5"/>
  <c r="O6" i="5"/>
  <c r="K6" i="5"/>
  <c r="G6" i="5"/>
  <c r="Q6" i="5"/>
  <c r="M6" i="5"/>
  <c r="I6" i="5"/>
  <c r="N20" i="5"/>
  <c r="P20" i="5"/>
  <c r="Q20" i="5"/>
  <c r="M20" i="5"/>
  <c r="I20" i="5"/>
  <c r="S20" i="5"/>
  <c r="O20" i="5"/>
  <c r="K20" i="5"/>
  <c r="G20" i="5"/>
  <c r="R20" i="5"/>
  <c r="F20" i="5"/>
  <c r="H20" i="5"/>
  <c r="P34" i="5"/>
  <c r="L34" i="5"/>
  <c r="H34" i="5"/>
  <c r="R34" i="5"/>
  <c r="N34" i="5"/>
  <c r="J34" i="5"/>
  <c r="F34" i="5"/>
  <c r="P6" i="5"/>
  <c r="L6" i="5"/>
  <c r="H6" i="5"/>
  <c r="R6" i="5"/>
  <c r="N6" i="5"/>
  <c r="J6" i="5"/>
  <c r="F6" i="5"/>
  <c r="A45" i="5"/>
  <c r="A43" i="5" l="1"/>
  <c r="A44" i="5"/>
  <c r="D37" i="6"/>
  <c r="B37" i="1"/>
  <c r="B37" i="6" s="1"/>
  <c r="C37" i="1"/>
  <c r="C37" i="6" s="1"/>
  <c r="B38" i="1"/>
  <c r="C38" i="1"/>
  <c r="B39" i="1"/>
  <c r="C39" i="1"/>
  <c r="B40" i="1"/>
  <c r="C40" i="1"/>
  <c r="A40" i="1" l="1"/>
  <c r="A38" i="1"/>
  <c r="A39" i="1"/>
  <c r="A37" i="1"/>
  <c r="A37" i="6" s="1"/>
  <c r="A116" i="5" l="1"/>
  <c r="A115" i="5"/>
  <c r="A114" i="5"/>
  <c r="A117" i="5" s="1"/>
  <c r="A104" i="5"/>
  <c r="A103" i="5"/>
  <c r="A102" i="5"/>
  <c r="A118" i="5" l="1"/>
  <c r="E34" i="5"/>
  <c r="D34" i="5"/>
  <c r="C6" i="5"/>
  <c r="C20" i="5"/>
  <c r="D6" i="5"/>
  <c r="D20" i="5"/>
  <c r="E6" i="5"/>
  <c r="E20" i="5"/>
  <c r="I5" i="3" l="1"/>
  <c r="D6" i="3"/>
  <c r="C6" i="3"/>
  <c r="B6" i="3"/>
  <c r="E6" i="3" s="1"/>
  <c r="F6" i="3" l="1"/>
  <c r="H5" i="3"/>
  <c r="G5" i="3"/>
  <c r="D4" i="6" l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B38" i="6"/>
  <c r="D38" i="6"/>
  <c r="B39" i="6"/>
  <c r="D39" i="6"/>
  <c r="B40" i="6"/>
  <c r="D40" i="6"/>
  <c r="D41" i="6"/>
  <c r="D42" i="6"/>
  <c r="D43" i="6"/>
  <c r="D44" i="6"/>
  <c r="D45" i="6"/>
  <c r="D46" i="6"/>
  <c r="D47" i="6"/>
  <c r="D48" i="6"/>
  <c r="D49" i="6"/>
  <c r="D50" i="6"/>
  <c r="D51" i="6"/>
  <c r="B4" i="1"/>
  <c r="C4" i="1"/>
  <c r="C4" i="6" s="1"/>
  <c r="B5" i="1"/>
  <c r="B5" i="6" s="1"/>
  <c r="C5" i="1"/>
  <c r="C5" i="6" s="1"/>
  <c r="B6" i="1"/>
  <c r="C6" i="1"/>
  <c r="C6" i="6" s="1"/>
  <c r="B7" i="1"/>
  <c r="C7" i="1"/>
  <c r="C7" i="6" s="1"/>
  <c r="B8" i="1"/>
  <c r="B8" i="6" s="1"/>
  <c r="C8" i="1"/>
  <c r="C8" i="6" s="1"/>
  <c r="B9" i="1"/>
  <c r="A9" i="1" s="1"/>
  <c r="A9" i="6" s="1"/>
  <c r="C9" i="1"/>
  <c r="C9" i="6" s="1"/>
  <c r="B10" i="1"/>
  <c r="B10" i="6" s="1"/>
  <c r="C10" i="1"/>
  <c r="C10" i="6" s="1"/>
  <c r="B11" i="1"/>
  <c r="B11" i="6" s="1"/>
  <c r="C11" i="1"/>
  <c r="C11" i="6" s="1"/>
  <c r="B12" i="1"/>
  <c r="B12" i="6" s="1"/>
  <c r="C12" i="1"/>
  <c r="C12" i="6" s="1"/>
  <c r="B13" i="1"/>
  <c r="C13" i="1"/>
  <c r="C13" i="6" s="1"/>
  <c r="B14" i="1"/>
  <c r="B14" i="6" s="1"/>
  <c r="C14" i="1"/>
  <c r="C14" i="6" s="1"/>
  <c r="B15" i="1"/>
  <c r="B15" i="6" s="1"/>
  <c r="C15" i="1"/>
  <c r="B16" i="1"/>
  <c r="A16" i="1" s="1"/>
  <c r="A16" i="6" s="1"/>
  <c r="C16" i="1"/>
  <c r="C16" i="6" s="1"/>
  <c r="B17" i="1"/>
  <c r="B17" i="6" s="1"/>
  <c r="C17" i="1"/>
  <c r="C17" i="6" s="1"/>
  <c r="B18" i="1"/>
  <c r="C18" i="1"/>
  <c r="C18" i="6" s="1"/>
  <c r="B19" i="1"/>
  <c r="B19" i="6" s="1"/>
  <c r="C19" i="1"/>
  <c r="C19" i="6" s="1"/>
  <c r="B20" i="1"/>
  <c r="A20" i="1" s="1"/>
  <c r="A20" i="6" s="1"/>
  <c r="C20" i="1"/>
  <c r="C20" i="6" s="1"/>
  <c r="B21" i="1"/>
  <c r="B21" i="6" s="1"/>
  <c r="C21" i="1"/>
  <c r="C21" i="6" s="1"/>
  <c r="B22" i="1"/>
  <c r="A22" i="1" s="1"/>
  <c r="A22" i="6" s="1"/>
  <c r="C22" i="1"/>
  <c r="C22" i="6" s="1"/>
  <c r="B23" i="1"/>
  <c r="C23" i="1"/>
  <c r="C23" i="6" s="1"/>
  <c r="B24" i="1"/>
  <c r="B24" i="6" s="1"/>
  <c r="C24" i="1"/>
  <c r="C24" i="6" s="1"/>
  <c r="B25" i="1"/>
  <c r="C25" i="1"/>
  <c r="C25" i="6" s="1"/>
  <c r="B26" i="1"/>
  <c r="B26" i="6" s="1"/>
  <c r="C26" i="1"/>
  <c r="C26" i="6" s="1"/>
  <c r="B27" i="1"/>
  <c r="B27" i="6" s="1"/>
  <c r="C27" i="1"/>
  <c r="B28" i="1"/>
  <c r="B28" i="6" s="1"/>
  <c r="C28" i="1"/>
  <c r="C28" i="6" s="1"/>
  <c r="B29" i="1"/>
  <c r="C29" i="1"/>
  <c r="C29" i="6" s="1"/>
  <c r="B30" i="1"/>
  <c r="B30" i="6" s="1"/>
  <c r="C30" i="1"/>
  <c r="C30" i="6" s="1"/>
  <c r="B31" i="1"/>
  <c r="B31" i="6" s="1"/>
  <c r="C31" i="1"/>
  <c r="C31" i="6" s="1"/>
  <c r="B32" i="1"/>
  <c r="A32" i="1" s="1"/>
  <c r="A32" i="6" s="1"/>
  <c r="C32" i="1"/>
  <c r="C32" i="6" s="1"/>
  <c r="B33" i="1"/>
  <c r="B33" i="6" s="1"/>
  <c r="C33" i="1"/>
  <c r="C33" i="6" s="1"/>
  <c r="B34" i="1"/>
  <c r="B34" i="6" s="1"/>
  <c r="C34" i="1"/>
  <c r="C34" i="6" s="1"/>
  <c r="B35" i="1"/>
  <c r="C35" i="1"/>
  <c r="C35" i="6" s="1"/>
  <c r="B36" i="1"/>
  <c r="B36" i="6" s="1"/>
  <c r="C36" i="1"/>
  <c r="C36" i="6" s="1"/>
  <c r="C38" i="6"/>
  <c r="A39" i="6"/>
  <c r="C39" i="6"/>
  <c r="C40" i="6"/>
  <c r="B41" i="1"/>
  <c r="C41" i="6"/>
  <c r="B42" i="1"/>
  <c r="B42" i="6" s="1"/>
  <c r="C42" i="6"/>
  <c r="B43" i="1"/>
  <c r="A43" i="1" s="1"/>
  <c r="A43" i="6" s="1"/>
  <c r="C43" i="6"/>
  <c r="B44" i="1"/>
  <c r="B44" i="6" s="1"/>
  <c r="C44" i="6"/>
  <c r="B45" i="1"/>
  <c r="A45" i="1" s="1"/>
  <c r="A45" i="6" s="1"/>
  <c r="C45" i="6"/>
  <c r="B46" i="1"/>
  <c r="B46" i="6" s="1"/>
  <c r="C46" i="6"/>
  <c r="B47" i="1"/>
  <c r="B47" i="6" s="1"/>
  <c r="B48" i="1"/>
  <c r="B48" i="6" s="1"/>
  <c r="C48" i="6"/>
  <c r="B49" i="1"/>
  <c r="B49" i="6" s="1"/>
  <c r="C49" i="6"/>
  <c r="B50" i="1"/>
  <c r="B50" i="6" s="1"/>
  <c r="C50" i="6"/>
  <c r="B51" i="1"/>
  <c r="B51" i="6" s="1"/>
  <c r="C51" i="6"/>
  <c r="A7" i="1" l="1"/>
  <c r="A7" i="6" s="1"/>
  <c r="A18" i="1"/>
  <c r="A18" i="6" s="1"/>
  <c r="A25" i="1"/>
  <c r="A25" i="6" s="1"/>
  <c r="A35" i="1"/>
  <c r="A35" i="6" s="1"/>
  <c r="A23" i="1"/>
  <c r="A23" i="6" s="1"/>
  <c r="A13" i="1"/>
  <c r="A13" i="6" s="1"/>
  <c r="A11" i="1"/>
  <c r="A11" i="6" s="1"/>
  <c r="A27" i="1"/>
  <c r="A27" i="6" s="1"/>
  <c r="I61" i="6"/>
  <c r="R61" i="6"/>
  <c r="H59" i="6"/>
  <c r="Q59" i="6"/>
  <c r="S57" i="6"/>
  <c r="K63" i="6"/>
  <c r="U61" i="6"/>
  <c r="G61" i="6"/>
  <c r="T59" i="6"/>
  <c r="F59" i="6"/>
  <c r="H57" i="6"/>
  <c r="L63" i="6"/>
  <c r="J61" i="6"/>
  <c r="S61" i="6"/>
  <c r="I59" i="6"/>
  <c r="R59" i="6"/>
  <c r="T57" i="6"/>
  <c r="M63" i="6"/>
  <c r="K61" i="6"/>
  <c r="H61" i="6"/>
  <c r="U59" i="6"/>
  <c r="I57" i="6"/>
  <c r="N63" i="6"/>
  <c r="U63" i="6"/>
  <c r="L61" i="6"/>
  <c r="T61" i="6"/>
  <c r="J59" i="6"/>
  <c r="U57" i="6"/>
  <c r="O63" i="6"/>
  <c r="M61" i="6"/>
  <c r="K59" i="6"/>
  <c r="J57" i="6"/>
  <c r="P63" i="6"/>
  <c r="F63" i="6"/>
  <c r="J63" i="6"/>
  <c r="N61" i="6"/>
  <c r="L59" i="6"/>
  <c r="K57" i="6"/>
  <c r="E63" i="6"/>
  <c r="G63" i="6"/>
  <c r="O61" i="6"/>
  <c r="M59" i="6"/>
  <c r="E57" i="6"/>
  <c r="L57" i="6"/>
  <c r="Q63" i="6"/>
  <c r="H63" i="6"/>
  <c r="P61" i="6"/>
  <c r="N59" i="6"/>
  <c r="Q57" i="6"/>
  <c r="M57" i="6"/>
  <c r="O57" i="6"/>
  <c r="I63" i="6"/>
  <c r="E61" i="6"/>
  <c r="O59" i="6"/>
  <c r="F57" i="6"/>
  <c r="N57" i="6"/>
  <c r="R63" i="6"/>
  <c r="Q61" i="6"/>
  <c r="G59" i="6"/>
  <c r="P59" i="6"/>
  <c r="R57" i="6"/>
  <c r="S63" i="6"/>
  <c r="F61" i="6"/>
  <c r="S59" i="6"/>
  <c r="E59" i="6"/>
  <c r="G57" i="6"/>
  <c r="P57" i="6"/>
  <c r="T63" i="6"/>
  <c r="N56" i="6"/>
  <c r="I56" i="6"/>
  <c r="H62" i="6"/>
  <c r="N58" i="6"/>
  <c r="U58" i="6"/>
  <c r="H60" i="6"/>
  <c r="Q56" i="6"/>
  <c r="R56" i="6"/>
  <c r="T62" i="6"/>
  <c r="O58" i="6"/>
  <c r="J58" i="6"/>
  <c r="T60" i="6"/>
  <c r="S56" i="6"/>
  <c r="M56" i="6"/>
  <c r="I62" i="6"/>
  <c r="P58" i="6"/>
  <c r="K58" i="6"/>
  <c r="I60" i="6"/>
  <c r="P56" i="6"/>
  <c r="O56" i="6"/>
  <c r="U62" i="6"/>
  <c r="E58" i="6"/>
  <c r="N60" i="6"/>
  <c r="U60" i="6"/>
  <c r="U56" i="6"/>
  <c r="G56" i="6"/>
  <c r="J62" i="6"/>
  <c r="Q58" i="6"/>
  <c r="O60" i="6"/>
  <c r="J60" i="6"/>
  <c r="E56" i="6"/>
  <c r="P62" i="6"/>
  <c r="K62" i="6"/>
  <c r="F58" i="6"/>
  <c r="P60" i="6"/>
  <c r="K60" i="6"/>
  <c r="F56" i="6"/>
  <c r="E62" i="6"/>
  <c r="L62" i="6"/>
  <c r="R58" i="6"/>
  <c r="E60" i="6"/>
  <c r="L60" i="6"/>
  <c r="H56" i="6"/>
  <c r="Q62" i="6"/>
  <c r="M62" i="6"/>
  <c r="G58" i="6"/>
  <c r="Q60" i="6"/>
  <c r="M60" i="6"/>
  <c r="T56" i="6"/>
  <c r="F62" i="6"/>
  <c r="N62" i="6"/>
  <c r="S58" i="6"/>
  <c r="F60" i="6"/>
  <c r="J56" i="6"/>
  <c r="R62" i="6"/>
  <c r="O62" i="6"/>
  <c r="H58" i="6"/>
  <c r="R60" i="6"/>
  <c r="K56" i="6"/>
  <c r="G62" i="6"/>
  <c r="L58" i="6"/>
  <c r="T58" i="6"/>
  <c r="G60" i="6"/>
  <c r="L56" i="6"/>
  <c r="S62" i="6"/>
  <c r="M58" i="6"/>
  <c r="I58" i="6"/>
  <c r="S60" i="6"/>
  <c r="K55" i="6"/>
  <c r="U55" i="6"/>
  <c r="L53" i="6"/>
  <c r="P52" i="6"/>
  <c r="S55" i="6"/>
  <c r="R55" i="6"/>
  <c r="F53" i="6"/>
  <c r="M52" i="6"/>
  <c r="P55" i="6"/>
  <c r="L55" i="6"/>
  <c r="U53" i="6"/>
  <c r="J52" i="6"/>
  <c r="M55" i="6"/>
  <c r="F55" i="6"/>
  <c r="R53" i="6"/>
  <c r="U52" i="6"/>
  <c r="Q52" i="6"/>
  <c r="J55" i="6"/>
  <c r="T55" i="6"/>
  <c r="O53" i="6"/>
  <c r="R52" i="6"/>
  <c r="G55" i="6"/>
  <c r="T53" i="6"/>
  <c r="I53" i="6"/>
  <c r="O52" i="6"/>
  <c r="E55" i="6"/>
  <c r="K53" i="6"/>
  <c r="N53" i="6"/>
  <c r="L52" i="6"/>
  <c r="N55" i="6"/>
  <c r="S53" i="6"/>
  <c r="E53" i="6"/>
  <c r="I52" i="6"/>
  <c r="O55" i="6"/>
  <c r="P53" i="6"/>
  <c r="Q53" i="6"/>
  <c r="F52" i="6"/>
  <c r="E52" i="6"/>
  <c r="I55" i="6"/>
  <c r="M53" i="6"/>
  <c r="H53" i="6"/>
  <c r="G52" i="6"/>
  <c r="K52" i="6"/>
  <c r="Q55" i="6"/>
  <c r="J53" i="6"/>
  <c r="H52" i="6"/>
  <c r="T52" i="6"/>
  <c r="H55" i="6"/>
  <c r="G53" i="6"/>
  <c r="S52" i="6"/>
  <c r="N52" i="6"/>
  <c r="T54" i="6"/>
  <c r="F54" i="6"/>
  <c r="H54" i="6"/>
  <c r="S54" i="6"/>
  <c r="P54" i="6"/>
  <c r="K54" i="6"/>
  <c r="M54" i="6"/>
  <c r="N54" i="6"/>
  <c r="J54" i="6"/>
  <c r="G54" i="6"/>
  <c r="I54" i="6"/>
  <c r="E54" i="6"/>
  <c r="Q54" i="6"/>
  <c r="U54" i="6"/>
  <c r="L54" i="6"/>
  <c r="R54" i="6"/>
  <c r="O54" i="6"/>
  <c r="K46" i="6"/>
  <c r="O46" i="6"/>
  <c r="S46" i="6"/>
  <c r="H46" i="6"/>
  <c r="L46" i="6"/>
  <c r="P46" i="6"/>
  <c r="T46" i="6"/>
  <c r="I46" i="6"/>
  <c r="M46" i="6"/>
  <c r="Q46" i="6"/>
  <c r="U46" i="6"/>
  <c r="J46" i="6"/>
  <c r="N46" i="6"/>
  <c r="R46" i="6"/>
  <c r="K44" i="6"/>
  <c r="O44" i="6"/>
  <c r="S44" i="6"/>
  <c r="H44" i="6"/>
  <c r="L44" i="6"/>
  <c r="P44" i="6"/>
  <c r="T44" i="6"/>
  <c r="I44" i="6"/>
  <c r="M44" i="6"/>
  <c r="Q44" i="6"/>
  <c r="U44" i="6"/>
  <c r="J44" i="6"/>
  <c r="N44" i="6"/>
  <c r="R44" i="6"/>
  <c r="K42" i="6"/>
  <c r="O42" i="6"/>
  <c r="S42" i="6"/>
  <c r="H42" i="6"/>
  <c r="L42" i="6"/>
  <c r="P42" i="6"/>
  <c r="T42" i="6"/>
  <c r="I42" i="6"/>
  <c r="M42" i="6"/>
  <c r="Q42" i="6"/>
  <c r="U42" i="6"/>
  <c r="J42" i="6"/>
  <c r="N42" i="6"/>
  <c r="R42" i="6"/>
  <c r="K50" i="6"/>
  <c r="O50" i="6"/>
  <c r="S50" i="6"/>
  <c r="H50" i="6"/>
  <c r="L50" i="6"/>
  <c r="P50" i="6"/>
  <c r="T50" i="6"/>
  <c r="I50" i="6"/>
  <c r="M50" i="6"/>
  <c r="Q50" i="6"/>
  <c r="U50" i="6"/>
  <c r="J50" i="6"/>
  <c r="N50" i="6"/>
  <c r="R50" i="6"/>
  <c r="K48" i="6"/>
  <c r="O48" i="6"/>
  <c r="S48" i="6"/>
  <c r="H48" i="6"/>
  <c r="L48" i="6"/>
  <c r="P48" i="6"/>
  <c r="T48" i="6"/>
  <c r="I48" i="6"/>
  <c r="M48" i="6"/>
  <c r="Q48" i="6"/>
  <c r="U48" i="6"/>
  <c r="J48" i="6"/>
  <c r="N48" i="6"/>
  <c r="R48" i="6"/>
  <c r="B41" i="6"/>
  <c r="U5" i="6"/>
  <c r="K8" i="6"/>
  <c r="O10" i="6"/>
  <c r="Q11" i="6"/>
  <c r="S12" i="6"/>
  <c r="M17" i="6"/>
  <c r="Q19" i="6"/>
  <c r="U21" i="6"/>
  <c r="K24" i="6"/>
  <c r="O26" i="6"/>
  <c r="S28" i="6"/>
  <c r="R5" i="6"/>
  <c r="H8" i="6"/>
  <c r="L10" i="6"/>
  <c r="N11" i="6"/>
  <c r="P12" i="6"/>
  <c r="T14" i="6"/>
  <c r="J17" i="6"/>
  <c r="N19" i="6"/>
  <c r="R21" i="6"/>
  <c r="H24" i="6"/>
  <c r="L26" i="6"/>
  <c r="P28" i="6"/>
  <c r="O5" i="6"/>
  <c r="U8" i="6"/>
  <c r="I10" i="6"/>
  <c r="K11" i="6"/>
  <c r="M12" i="6"/>
  <c r="Q14" i="6"/>
  <c r="K19" i="6"/>
  <c r="O21" i="6"/>
  <c r="U24" i="6"/>
  <c r="I26" i="6"/>
  <c r="M28" i="6"/>
  <c r="H5" i="6"/>
  <c r="N8" i="6"/>
  <c r="R10" i="6"/>
  <c r="T11" i="6"/>
  <c r="J14" i="6"/>
  <c r="P17" i="6"/>
  <c r="T19" i="6"/>
  <c r="H21" i="6"/>
  <c r="N24" i="6"/>
  <c r="R26" i="6"/>
  <c r="K30" i="6"/>
  <c r="I5" i="6"/>
  <c r="O8" i="6"/>
  <c r="S10" i="6"/>
  <c r="U11" i="6"/>
  <c r="K14" i="6"/>
  <c r="Q17" i="6"/>
  <c r="U19" i="6"/>
  <c r="I21" i="6"/>
  <c r="O24" i="6"/>
  <c r="S26" i="6"/>
  <c r="L8" i="6"/>
  <c r="P10" i="6"/>
  <c r="R11" i="6"/>
  <c r="T12" i="6"/>
  <c r="H14" i="6"/>
  <c r="N17" i="6"/>
  <c r="R19" i="6"/>
  <c r="L24" i="6"/>
  <c r="P26" i="6"/>
  <c r="T28" i="6"/>
  <c r="S5" i="6"/>
  <c r="I8" i="6"/>
  <c r="M10" i="6"/>
  <c r="O11" i="6"/>
  <c r="Q12" i="6"/>
  <c r="U14" i="6"/>
  <c r="K17" i="6"/>
  <c r="O19" i="6"/>
  <c r="S21" i="6"/>
  <c r="I24" i="6"/>
  <c r="M26" i="6"/>
  <c r="Q28" i="6"/>
  <c r="L5" i="6"/>
  <c r="R8" i="6"/>
  <c r="H11" i="6"/>
  <c r="J12" i="6"/>
  <c r="N14" i="6"/>
  <c r="T17" i="6"/>
  <c r="H19" i="6"/>
  <c r="L21" i="6"/>
  <c r="R24" i="6"/>
  <c r="J28" i="6"/>
  <c r="M5" i="6"/>
  <c r="S8" i="6"/>
  <c r="I11" i="6"/>
  <c r="K12" i="6"/>
  <c r="O14" i="6"/>
  <c r="U17" i="6"/>
  <c r="I19" i="6"/>
  <c r="M21" i="6"/>
  <c r="S24" i="6"/>
  <c r="K28" i="6"/>
  <c r="J5" i="6"/>
  <c r="P8" i="6"/>
  <c r="T10" i="6"/>
  <c r="H12" i="6"/>
  <c r="L14" i="6"/>
  <c r="R17" i="6"/>
  <c r="J21" i="6"/>
  <c r="P24" i="6"/>
  <c r="T26" i="6"/>
  <c r="H28" i="6"/>
  <c r="M8" i="6"/>
  <c r="Q10" i="6"/>
  <c r="S11" i="6"/>
  <c r="U12" i="6"/>
  <c r="I14" i="6"/>
  <c r="O17" i="6"/>
  <c r="S19" i="6"/>
  <c r="M24" i="6"/>
  <c r="Q26" i="6"/>
  <c r="U28" i="6"/>
  <c r="P5" i="6"/>
  <c r="J10" i="6"/>
  <c r="L11" i="6"/>
  <c r="N12" i="6"/>
  <c r="R14" i="6"/>
  <c r="H17" i="6"/>
  <c r="L19" i="6"/>
  <c r="P21" i="6"/>
  <c r="J26" i="6"/>
  <c r="N28" i="6"/>
  <c r="Q5" i="6"/>
  <c r="K10" i="6"/>
  <c r="M11" i="6"/>
  <c r="O12" i="6"/>
  <c r="S14" i="6"/>
  <c r="I17" i="6"/>
  <c r="M19" i="6"/>
  <c r="Q21" i="6"/>
  <c r="K26" i="6"/>
  <c r="O28" i="6"/>
  <c r="N5" i="6"/>
  <c r="T8" i="6"/>
  <c r="H10" i="6"/>
  <c r="J11" i="6"/>
  <c r="L12" i="6"/>
  <c r="P14" i="6"/>
  <c r="J19" i="6"/>
  <c r="N21" i="6"/>
  <c r="T24" i="6"/>
  <c r="H26" i="6"/>
  <c r="L28" i="6"/>
  <c r="K5" i="6"/>
  <c r="Q8" i="6"/>
  <c r="U10" i="6"/>
  <c r="I12" i="6"/>
  <c r="M14" i="6"/>
  <c r="S17" i="6"/>
  <c r="K21" i="6"/>
  <c r="Q24" i="6"/>
  <c r="U26" i="6"/>
  <c r="I28" i="6"/>
  <c r="T5" i="6"/>
  <c r="J8" i="6"/>
  <c r="N10" i="6"/>
  <c r="P11" i="6"/>
  <c r="R12" i="6"/>
  <c r="L17" i="6"/>
  <c r="P19" i="6"/>
  <c r="T21" i="6"/>
  <c r="J24" i="6"/>
  <c r="N26" i="6"/>
  <c r="R28" i="6"/>
  <c r="O30" i="6"/>
  <c r="Q31" i="6"/>
  <c r="U33" i="6"/>
  <c r="K36" i="6"/>
  <c r="M37" i="6"/>
  <c r="O38" i="6"/>
  <c r="Q39" i="6"/>
  <c r="L30" i="6"/>
  <c r="N31" i="6"/>
  <c r="R33" i="6"/>
  <c r="T34" i="6"/>
  <c r="H36" i="6"/>
  <c r="J37" i="6"/>
  <c r="L38" i="6"/>
  <c r="N39" i="6"/>
  <c r="I30" i="6"/>
  <c r="K31" i="6"/>
  <c r="O33" i="6"/>
  <c r="Q34" i="6"/>
  <c r="U36" i="6"/>
  <c r="I38" i="6"/>
  <c r="K39" i="6"/>
  <c r="R30" i="6"/>
  <c r="T31" i="6"/>
  <c r="H33" i="6"/>
  <c r="J34" i="6"/>
  <c r="N36" i="6"/>
  <c r="P37" i="6"/>
  <c r="R38" i="6"/>
  <c r="T39" i="6"/>
  <c r="S30" i="6"/>
  <c r="U31" i="6"/>
  <c r="I33" i="6"/>
  <c r="K34" i="6"/>
  <c r="O36" i="6"/>
  <c r="Q37" i="6"/>
  <c r="S38" i="6"/>
  <c r="U39" i="6"/>
  <c r="P30" i="6"/>
  <c r="R31" i="6"/>
  <c r="H34" i="6"/>
  <c r="L36" i="6"/>
  <c r="N37" i="6"/>
  <c r="P38" i="6"/>
  <c r="R39" i="6"/>
  <c r="M30" i="6"/>
  <c r="O31" i="6"/>
  <c r="S33" i="6"/>
  <c r="U34" i="6"/>
  <c r="I36" i="6"/>
  <c r="K37" i="6"/>
  <c r="M38" i="6"/>
  <c r="O39" i="6"/>
  <c r="H31" i="6"/>
  <c r="L33" i="6"/>
  <c r="N34" i="6"/>
  <c r="R36" i="6"/>
  <c r="T37" i="6"/>
  <c r="H39" i="6"/>
  <c r="I31" i="6"/>
  <c r="M33" i="6"/>
  <c r="O34" i="6"/>
  <c r="S36" i="6"/>
  <c r="U37" i="6"/>
  <c r="I39" i="6"/>
  <c r="T30" i="6"/>
  <c r="J33" i="6"/>
  <c r="L34" i="6"/>
  <c r="P36" i="6"/>
  <c r="R37" i="6"/>
  <c r="T38" i="6"/>
  <c r="Q30" i="6"/>
  <c r="S31" i="6"/>
  <c r="I34" i="6"/>
  <c r="M36" i="6"/>
  <c r="O37" i="6"/>
  <c r="Q38" i="6"/>
  <c r="S39" i="6"/>
  <c r="J30" i="6"/>
  <c r="L31" i="6"/>
  <c r="P33" i="6"/>
  <c r="R34" i="6"/>
  <c r="H37" i="6"/>
  <c r="J38" i="6"/>
  <c r="L39" i="6"/>
  <c r="N4" i="6"/>
  <c r="M31" i="6"/>
  <c r="Q33" i="6"/>
  <c r="S34" i="6"/>
  <c r="I37" i="6"/>
  <c r="K38" i="6"/>
  <c r="M39" i="6"/>
  <c r="H30" i="6"/>
  <c r="J31" i="6"/>
  <c r="N33" i="6"/>
  <c r="P34" i="6"/>
  <c r="T36" i="6"/>
  <c r="H38" i="6"/>
  <c r="J39" i="6"/>
  <c r="U30" i="6"/>
  <c r="K33" i="6"/>
  <c r="M34" i="6"/>
  <c r="Q36" i="6"/>
  <c r="S37" i="6"/>
  <c r="U38" i="6"/>
  <c r="N30" i="6"/>
  <c r="P31" i="6"/>
  <c r="T33" i="6"/>
  <c r="H35" i="6"/>
  <c r="J36" i="6"/>
  <c r="L37" i="6"/>
  <c r="N38" i="6"/>
  <c r="P39" i="6"/>
  <c r="K40" i="6"/>
  <c r="O40" i="6"/>
  <c r="S40" i="6"/>
  <c r="H40" i="6"/>
  <c r="L40" i="6"/>
  <c r="P40" i="6"/>
  <c r="T40" i="6"/>
  <c r="I40" i="6"/>
  <c r="M40" i="6"/>
  <c r="Q40" i="6"/>
  <c r="U40" i="6"/>
  <c r="J40" i="6"/>
  <c r="N40" i="6"/>
  <c r="R40" i="6"/>
  <c r="I51" i="6"/>
  <c r="M51" i="6"/>
  <c r="Q51" i="6"/>
  <c r="U51" i="6"/>
  <c r="J51" i="6"/>
  <c r="N51" i="6"/>
  <c r="R51" i="6"/>
  <c r="K51" i="6"/>
  <c r="O51" i="6"/>
  <c r="S51" i="6"/>
  <c r="H51" i="6"/>
  <c r="L51" i="6"/>
  <c r="P51" i="6"/>
  <c r="T51" i="6"/>
  <c r="I49" i="6"/>
  <c r="M49" i="6"/>
  <c r="Q49" i="6"/>
  <c r="U49" i="6"/>
  <c r="J49" i="6"/>
  <c r="N49" i="6"/>
  <c r="R49" i="6"/>
  <c r="K49" i="6"/>
  <c r="O49" i="6"/>
  <c r="S49" i="6"/>
  <c r="H49" i="6"/>
  <c r="L49" i="6"/>
  <c r="P49" i="6"/>
  <c r="T49" i="6"/>
  <c r="A31" i="1"/>
  <c r="A31" i="6" s="1"/>
  <c r="A29" i="1"/>
  <c r="A29" i="6" s="1"/>
  <c r="A15" i="1"/>
  <c r="A15" i="6" s="1"/>
  <c r="A6" i="1"/>
  <c r="A6" i="6" s="1"/>
  <c r="A4" i="1"/>
  <c r="C27" i="6"/>
  <c r="S27" i="6" s="1"/>
  <c r="C15" i="6"/>
  <c r="K15" i="6" s="1"/>
  <c r="B32" i="6"/>
  <c r="P32" i="6" s="1"/>
  <c r="B29" i="6"/>
  <c r="K29" i="6" s="1"/>
  <c r="B25" i="6"/>
  <c r="M25" i="6" s="1"/>
  <c r="B23" i="6"/>
  <c r="R23" i="6" s="1"/>
  <c r="B22" i="6"/>
  <c r="K22" i="6" s="1"/>
  <c r="B20" i="6"/>
  <c r="O20" i="6" s="1"/>
  <c r="B18" i="6"/>
  <c r="I18" i="6" s="1"/>
  <c r="B16" i="6"/>
  <c r="J16" i="6" s="1"/>
  <c r="B13" i="6"/>
  <c r="K13" i="6" s="1"/>
  <c r="B9" i="6"/>
  <c r="Q9" i="6" s="1"/>
  <c r="B7" i="6"/>
  <c r="L7" i="6" s="1"/>
  <c r="B6" i="6"/>
  <c r="S6" i="6" s="1"/>
  <c r="B4" i="6"/>
  <c r="T4" i="6" s="1"/>
  <c r="B45" i="6"/>
  <c r="E45" i="6" s="1"/>
  <c r="B43" i="6"/>
  <c r="E33" i="6"/>
  <c r="F33" i="6"/>
  <c r="G33" i="6"/>
  <c r="A46" i="1"/>
  <c r="A46" i="6" s="1"/>
  <c r="A47" i="1"/>
  <c r="A47" i="6" s="1"/>
  <c r="A38" i="6"/>
  <c r="A36" i="1"/>
  <c r="A36" i="6" s="1"/>
  <c r="A34" i="1"/>
  <c r="A34" i="6" s="1"/>
  <c r="C47" i="6"/>
  <c r="Q47" i="6" s="1"/>
  <c r="F51" i="6"/>
  <c r="G51" i="6"/>
  <c r="E51" i="6"/>
  <c r="E50" i="6"/>
  <c r="F50" i="6"/>
  <c r="G50" i="6"/>
  <c r="F49" i="6"/>
  <c r="G49" i="6"/>
  <c r="E49" i="6"/>
  <c r="G48" i="6"/>
  <c r="E48" i="6"/>
  <c r="F48" i="6"/>
  <c r="F47" i="6"/>
  <c r="G47" i="6"/>
  <c r="E47" i="6"/>
  <c r="E46" i="6"/>
  <c r="F46" i="6"/>
  <c r="G46" i="6"/>
  <c r="F45" i="6"/>
  <c r="G44" i="6"/>
  <c r="E44" i="6"/>
  <c r="F44" i="6"/>
  <c r="F43" i="6"/>
  <c r="G43" i="6"/>
  <c r="E43" i="6"/>
  <c r="E42" i="6"/>
  <c r="F42" i="6"/>
  <c r="G42" i="6"/>
  <c r="E41" i="6"/>
  <c r="F41" i="6"/>
  <c r="G41" i="6"/>
  <c r="G40" i="6"/>
  <c r="E40" i="6"/>
  <c r="F40" i="6"/>
  <c r="F39" i="6"/>
  <c r="G39" i="6"/>
  <c r="E39" i="6"/>
  <c r="E38" i="6"/>
  <c r="F38" i="6"/>
  <c r="G38" i="6"/>
  <c r="G36" i="6"/>
  <c r="E36" i="6"/>
  <c r="F36" i="6"/>
  <c r="B35" i="6"/>
  <c r="N35" i="6" s="1"/>
  <c r="E34" i="6"/>
  <c r="F34" i="6"/>
  <c r="G34" i="6"/>
  <c r="G32" i="6"/>
  <c r="E32" i="6"/>
  <c r="F32" i="6"/>
  <c r="F31" i="6"/>
  <c r="G31" i="6"/>
  <c r="E31" i="6"/>
  <c r="E30" i="6"/>
  <c r="F30" i="6"/>
  <c r="G30" i="6"/>
  <c r="E29" i="6"/>
  <c r="F29" i="6"/>
  <c r="G29" i="6"/>
  <c r="G28" i="6"/>
  <c r="E28" i="6"/>
  <c r="F28" i="6"/>
  <c r="F27" i="6"/>
  <c r="G27" i="6"/>
  <c r="E27" i="6"/>
  <c r="E26" i="6"/>
  <c r="F26" i="6"/>
  <c r="G26" i="6"/>
  <c r="E25" i="6"/>
  <c r="F25" i="6"/>
  <c r="G25" i="6"/>
  <c r="G24" i="6"/>
  <c r="E24" i="6"/>
  <c r="F24" i="6"/>
  <c r="F23" i="6"/>
  <c r="G23" i="6"/>
  <c r="E23" i="6"/>
  <c r="E22" i="6"/>
  <c r="F22" i="6"/>
  <c r="E21" i="6"/>
  <c r="F21" i="6"/>
  <c r="G21" i="6"/>
  <c r="G20" i="6"/>
  <c r="F19" i="6"/>
  <c r="G19" i="6"/>
  <c r="E19" i="6"/>
  <c r="E18" i="6"/>
  <c r="F18" i="6"/>
  <c r="G18" i="6"/>
  <c r="E17" i="6"/>
  <c r="F17" i="6"/>
  <c r="G17" i="6"/>
  <c r="G16" i="6"/>
  <c r="E16" i="6"/>
  <c r="F16" i="6"/>
  <c r="F15" i="6"/>
  <c r="G15" i="6"/>
  <c r="E15" i="6"/>
  <c r="E14" i="6"/>
  <c r="F14" i="6"/>
  <c r="G14" i="6"/>
  <c r="E13" i="6"/>
  <c r="F13" i="6"/>
  <c r="G13" i="6"/>
  <c r="G12" i="6"/>
  <c r="E12" i="6"/>
  <c r="F12" i="6"/>
  <c r="F11" i="6"/>
  <c r="G11" i="6"/>
  <c r="E11" i="6"/>
  <c r="E10" i="6"/>
  <c r="F10" i="6"/>
  <c r="G10" i="6"/>
  <c r="E9" i="6"/>
  <c r="F9" i="6"/>
  <c r="G9" i="6"/>
  <c r="G8" i="6"/>
  <c r="E8" i="6"/>
  <c r="F8" i="6"/>
  <c r="F7" i="6"/>
  <c r="G7" i="6"/>
  <c r="E7" i="6"/>
  <c r="E6" i="6"/>
  <c r="F6" i="6"/>
  <c r="G6" i="6"/>
  <c r="E5" i="6"/>
  <c r="F5" i="6"/>
  <c r="G5" i="6"/>
  <c r="G4" i="6"/>
  <c r="E4" i="6"/>
  <c r="F4" i="6"/>
  <c r="A44" i="1"/>
  <c r="A44" i="6" s="1"/>
  <c r="A50" i="1"/>
  <c r="A50" i="6" s="1"/>
  <c r="A48" i="1"/>
  <c r="A48" i="6" s="1"/>
  <c r="A41" i="1"/>
  <c r="A41" i="6" s="1"/>
  <c r="A30" i="1"/>
  <c r="A30" i="6" s="1"/>
  <c r="A28" i="1"/>
  <c r="A28" i="6" s="1"/>
  <c r="A21" i="1"/>
  <c r="A21" i="6" s="1"/>
  <c r="A19" i="1"/>
  <c r="A19" i="6" s="1"/>
  <c r="A51" i="1"/>
  <c r="A51" i="6" s="1"/>
  <c r="A14" i="1"/>
  <c r="A14" i="6" s="1"/>
  <c r="A12" i="1"/>
  <c r="A12" i="6" s="1"/>
  <c r="A5" i="1"/>
  <c r="A5" i="6" s="1"/>
  <c r="A49" i="1"/>
  <c r="A49" i="6" s="1"/>
  <c r="A42" i="1"/>
  <c r="A42" i="6" s="1"/>
  <c r="A40" i="6"/>
  <c r="A33" i="1"/>
  <c r="A26" i="1"/>
  <c r="A26" i="6" s="1"/>
  <c r="A24" i="1"/>
  <c r="A24" i="6" s="1"/>
  <c r="A17" i="1"/>
  <c r="A17" i="6" s="1"/>
  <c r="A10" i="1"/>
  <c r="A10" i="6" s="1"/>
  <c r="A8" i="1"/>
  <c r="A8" i="6" s="1"/>
  <c r="F20" i="6" l="1"/>
  <c r="R32" i="6"/>
  <c r="O4" i="6"/>
  <c r="K32" i="6"/>
  <c r="T29" i="6"/>
  <c r="L35" i="6"/>
  <c r="H15" i="6"/>
  <c r="S25" i="6"/>
  <c r="P22" i="6"/>
  <c r="T15" i="6"/>
  <c r="N23" i="6"/>
  <c r="R9" i="6"/>
  <c r="K20" i="6"/>
  <c r="O6" i="6"/>
  <c r="R16" i="6"/>
  <c r="O27" i="6"/>
  <c r="S13" i="6"/>
  <c r="M7" i="6"/>
  <c r="J6" i="6"/>
  <c r="U16" i="6"/>
  <c r="N27" i="6"/>
  <c r="R13" i="6"/>
  <c r="E20" i="6"/>
  <c r="S29" i="6"/>
  <c r="K35" i="6"/>
  <c r="Q4" i="6"/>
  <c r="M32" i="6"/>
  <c r="P27" i="6"/>
  <c r="T13" i="6"/>
  <c r="R7" i="6"/>
  <c r="K18" i="6"/>
  <c r="O25" i="6"/>
  <c r="L22" i="6"/>
  <c r="P15" i="6"/>
  <c r="J23" i="6"/>
  <c r="N9" i="6"/>
  <c r="K6" i="6"/>
  <c r="R18" i="6"/>
  <c r="S15" i="6"/>
  <c r="I23" i="6"/>
  <c r="M9" i="6"/>
  <c r="L4" i="6"/>
  <c r="T35" i="6"/>
  <c r="H32" i="6"/>
  <c r="Q29" i="6"/>
  <c r="M35" i="6"/>
  <c r="S4" i="6"/>
  <c r="O23" i="6"/>
  <c r="S9" i="6"/>
  <c r="L20" i="6"/>
  <c r="P6" i="6"/>
  <c r="L27" i="6"/>
  <c r="P13" i="6"/>
  <c r="N7" i="6"/>
  <c r="K25" i="6"/>
  <c r="H22" i="6"/>
  <c r="S18" i="6"/>
  <c r="J25" i="6"/>
  <c r="L29" i="6"/>
  <c r="U32" i="6"/>
  <c r="J4" i="6"/>
  <c r="L25" i="6"/>
  <c r="M22" i="6"/>
  <c r="U15" i="6"/>
  <c r="K23" i="6"/>
  <c r="O9" i="6"/>
  <c r="H20" i="6"/>
  <c r="L6" i="6"/>
  <c r="S16" i="6"/>
  <c r="H27" i="6"/>
  <c r="L13" i="6"/>
  <c r="T20" i="6"/>
  <c r="J7" i="6"/>
  <c r="N16" i="6"/>
  <c r="K27" i="6"/>
  <c r="O13" i="6"/>
  <c r="S20" i="6"/>
  <c r="I7" i="6"/>
  <c r="I4" i="6"/>
  <c r="U35" i="6"/>
  <c r="R29" i="6"/>
  <c r="J35" i="6"/>
  <c r="P4" i="6"/>
  <c r="O7" i="6"/>
  <c r="H18" i="6"/>
  <c r="H25" i="6"/>
  <c r="I22" i="6"/>
  <c r="T18" i="6"/>
  <c r="Q15" i="6"/>
  <c r="T25" i="6"/>
  <c r="U22" i="6"/>
  <c r="K9" i="6"/>
  <c r="H6" i="6"/>
  <c r="O16" i="6"/>
  <c r="H29" i="6"/>
  <c r="L15" i="6"/>
  <c r="T22" i="6"/>
  <c r="J9" i="6"/>
  <c r="R4" i="6"/>
  <c r="N32" i="6"/>
  <c r="K4" i="6"/>
  <c r="P29" i="6"/>
  <c r="H23" i="6"/>
  <c r="L9" i="6"/>
  <c r="I20" i="6"/>
  <c r="M6" i="6"/>
  <c r="T16" i="6"/>
  <c r="M27" i="6"/>
  <c r="Q13" i="6"/>
  <c r="T23" i="6"/>
  <c r="U20" i="6"/>
  <c r="K7" i="6"/>
  <c r="P18" i="6"/>
  <c r="I29" i="6"/>
  <c r="M15" i="6"/>
  <c r="T27" i="6"/>
  <c r="O18" i="6"/>
  <c r="G22" i="6"/>
  <c r="R114" i="5"/>
  <c r="F114" i="5"/>
  <c r="B13" i="3"/>
  <c r="Q114" i="5"/>
  <c r="C114" i="5"/>
  <c r="B12" i="3"/>
  <c r="P114" i="5"/>
  <c r="B23" i="3"/>
  <c r="B11" i="3"/>
  <c r="O114" i="5"/>
  <c r="B22" i="3"/>
  <c r="B10" i="3"/>
  <c r="N114" i="5"/>
  <c r="B21" i="3"/>
  <c r="B9" i="3"/>
  <c r="M114" i="5"/>
  <c r="B20" i="3"/>
  <c r="B8" i="3"/>
  <c r="L114" i="5"/>
  <c r="B19" i="3"/>
  <c r="B7" i="3"/>
  <c r="K114" i="5"/>
  <c r="B18" i="3"/>
  <c r="S114" i="5"/>
  <c r="G114" i="5"/>
  <c r="B14" i="3"/>
  <c r="J114" i="5"/>
  <c r="B17" i="3"/>
  <c r="I114" i="5"/>
  <c r="B16" i="3"/>
  <c r="H114" i="5"/>
  <c r="B15" i="3"/>
  <c r="S115" i="5"/>
  <c r="O115" i="5"/>
  <c r="H115" i="5"/>
  <c r="O116" i="5"/>
  <c r="K115" i="5"/>
  <c r="G115" i="5"/>
  <c r="R115" i="5"/>
  <c r="M116" i="5"/>
  <c r="M103" i="5" s="1"/>
  <c r="R116" i="5"/>
  <c r="E116" i="5"/>
  <c r="M115" i="5"/>
  <c r="P115" i="5"/>
  <c r="S116" i="5"/>
  <c r="K116" i="5"/>
  <c r="K103" i="5" s="1"/>
  <c r="N115" i="5"/>
  <c r="I116" i="5"/>
  <c r="N116" i="5"/>
  <c r="P116" i="5"/>
  <c r="C116" i="5"/>
  <c r="F116" i="5"/>
  <c r="L115" i="5"/>
  <c r="G116" i="5"/>
  <c r="J115" i="5"/>
  <c r="D116" i="5"/>
  <c r="J116" i="5"/>
  <c r="L116" i="5"/>
  <c r="H116" i="5"/>
  <c r="Q116" i="5"/>
  <c r="F115" i="5"/>
  <c r="Q115" i="5"/>
  <c r="I115" i="5"/>
  <c r="C22" i="3"/>
  <c r="C17" i="3"/>
  <c r="D21" i="3"/>
  <c r="C18" i="3"/>
  <c r="C13" i="3"/>
  <c r="D9" i="3"/>
  <c r="D10" i="3"/>
  <c r="D7" i="3"/>
  <c r="C21" i="3"/>
  <c r="C10" i="3"/>
  <c r="C9" i="3"/>
  <c r="D22" i="3"/>
  <c r="D15" i="3"/>
  <c r="D12" i="3"/>
  <c r="C12" i="3"/>
  <c r="G12" i="3" s="1"/>
  <c r="C14" i="3"/>
  <c r="D18" i="3"/>
  <c r="D14" i="3"/>
  <c r="D20" i="3"/>
  <c r="C23" i="3"/>
  <c r="C16" i="3"/>
  <c r="D13" i="3"/>
  <c r="D17" i="3"/>
  <c r="C19" i="3"/>
  <c r="D19" i="3"/>
  <c r="D23" i="3"/>
  <c r="D16" i="3"/>
  <c r="H16" i="3" s="1"/>
  <c r="D8" i="3"/>
  <c r="C15" i="3"/>
  <c r="G15" i="3" s="1"/>
  <c r="D11" i="3"/>
  <c r="H11" i="3" s="1"/>
  <c r="C8" i="3"/>
  <c r="C11" i="3"/>
  <c r="C7" i="3"/>
  <c r="C20" i="3"/>
  <c r="R35" i="6"/>
  <c r="O29" i="6"/>
  <c r="T32" i="6"/>
  <c r="M4" i="6"/>
  <c r="U18" i="6"/>
  <c r="R15" i="6"/>
  <c r="R22" i="6"/>
  <c r="H9" i="6"/>
  <c r="I6" i="6"/>
  <c r="P16" i="6"/>
  <c r="I27" i="6"/>
  <c r="M13" i="6"/>
  <c r="P23" i="6"/>
  <c r="T9" i="6"/>
  <c r="Q20" i="6"/>
  <c r="U6" i="6"/>
  <c r="U27" i="6"/>
  <c r="H13" i="6"/>
  <c r="S23" i="6"/>
  <c r="P20" i="6"/>
  <c r="T6" i="6"/>
  <c r="G45" i="6"/>
  <c r="O32" i="6"/>
  <c r="H4" i="6"/>
  <c r="P35" i="6"/>
  <c r="M29" i="6"/>
  <c r="I35" i="6"/>
  <c r="R20" i="6"/>
  <c r="H7" i="6"/>
  <c r="I25" i="6"/>
  <c r="T7" i="6"/>
  <c r="Q18" i="6"/>
  <c r="J29" i="6"/>
  <c r="N15" i="6"/>
  <c r="U25" i="6"/>
  <c r="N22" i="6"/>
  <c r="L16" i="6"/>
  <c r="I13" i="6"/>
  <c r="P25" i="6"/>
  <c r="Q22" i="6"/>
  <c r="K16" i="6"/>
  <c r="O35" i="6"/>
  <c r="U4" i="6"/>
  <c r="Q32" i="6"/>
  <c r="Q16" i="6"/>
  <c r="J27" i="6"/>
  <c r="N13" i="6"/>
  <c r="U23" i="6"/>
  <c r="N20" i="6"/>
  <c r="R6" i="6"/>
  <c r="P7" i="6"/>
  <c r="M18" i="6"/>
  <c r="J15" i="6"/>
  <c r="Q25" i="6"/>
  <c r="S7" i="6"/>
  <c r="L18" i="6"/>
  <c r="I15" i="6"/>
  <c r="L32" i="6"/>
  <c r="U29" i="6"/>
  <c r="Q35" i="6"/>
  <c r="N29" i="6"/>
  <c r="S32" i="6"/>
  <c r="N18" i="6"/>
  <c r="O15" i="6"/>
  <c r="S22" i="6"/>
  <c r="I9" i="6"/>
  <c r="M16" i="6"/>
  <c r="J13" i="6"/>
  <c r="Q23" i="6"/>
  <c r="U9" i="6"/>
  <c r="J20" i="6"/>
  <c r="N6" i="6"/>
  <c r="R27" i="6"/>
  <c r="L23" i="6"/>
  <c r="P9" i="6"/>
  <c r="M20" i="6"/>
  <c r="Q6" i="6"/>
  <c r="Q27" i="6"/>
  <c r="U13" i="6"/>
  <c r="J32" i="6"/>
  <c r="S35" i="6"/>
  <c r="U7" i="6"/>
  <c r="J18" i="6"/>
  <c r="R25" i="6"/>
  <c r="O22" i="6"/>
  <c r="I16" i="6"/>
  <c r="M23" i="6"/>
  <c r="J22" i="6"/>
  <c r="H16" i="6"/>
  <c r="I32" i="6"/>
  <c r="Q7" i="6"/>
  <c r="N25" i="6"/>
  <c r="I45" i="6"/>
  <c r="M45" i="6"/>
  <c r="Q45" i="6"/>
  <c r="U45" i="6"/>
  <c r="J45" i="6"/>
  <c r="N45" i="6"/>
  <c r="R45" i="6"/>
  <c r="K45" i="6"/>
  <c r="O45" i="6"/>
  <c r="S45" i="6"/>
  <c r="H45" i="6"/>
  <c r="L45" i="6"/>
  <c r="P45" i="6"/>
  <c r="T45" i="6"/>
  <c r="T47" i="6"/>
  <c r="S47" i="6"/>
  <c r="N47" i="6"/>
  <c r="M47" i="6"/>
  <c r="P47" i="6"/>
  <c r="O47" i="6"/>
  <c r="J47" i="6"/>
  <c r="I47" i="6"/>
  <c r="L47" i="6"/>
  <c r="K47" i="6"/>
  <c r="U47" i="6"/>
  <c r="I43" i="6"/>
  <c r="M43" i="6"/>
  <c r="Q43" i="6"/>
  <c r="U43" i="6"/>
  <c r="J43" i="6"/>
  <c r="N43" i="6"/>
  <c r="L118" i="5" s="1"/>
  <c r="R43" i="6"/>
  <c r="K43" i="6"/>
  <c r="O43" i="6"/>
  <c r="S43" i="6"/>
  <c r="H43" i="6"/>
  <c r="L43" i="6"/>
  <c r="J118" i="5" s="1"/>
  <c r="P43" i="6"/>
  <c r="T43" i="6"/>
  <c r="I41" i="6"/>
  <c r="M41" i="6"/>
  <c r="Q41" i="6"/>
  <c r="U41" i="6"/>
  <c r="J41" i="6"/>
  <c r="N41" i="6"/>
  <c r="R41" i="6"/>
  <c r="K41" i="6"/>
  <c r="O41" i="6"/>
  <c r="S41" i="6"/>
  <c r="H41" i="6"/>
  <c r="L41" i="6"/>
  <c r="P41" i="6"/>
  <c r="T41" i="6"/>
  <c r="H47" i="6"/>
  <c r="R47" i="6"/>
  <c r="A4" i="6"/>
  <c r="E118" i="5" s="1"/>
  <c r="A33" i="6"/>
  <c r="F35" i="6"/>
  <c r="G35" i="6"/>
  <c r="E35" i="6"/>
  <c r="E37" i="6"/>
  <c r="F37" i="6"/>
  <c r="G37" i="6"/>
  <c r="D114" i="5"/>
  <c r="E114" i="5"/>
  <c r="E115" i="5"/>
  <c r="D115" i="5"/>
  <c r="C115" i="5"/>
  <c r="A7" i="5"/>
  <c r="A6" i="5" s="1"/>
  <c r="A8" i="5"/>
  <c r="A9" i="5"/>
  <c r="A10" i="5"/>
  <c r="A11" i="5"/>
  <c r="A12" i="5"/>
  <c r="A13" i="5"/>
  <c r="A14" i="5"/>
  <c r="A15" i="5"/>
  <c r="A16" i="5"/>
  <c r="A17" i="5"/>
  <c r="A18" i="5"/>
  <c r="A21" i="5"/>
  <c r="A20" i="5" s="1"/>
  <c r="A22" i="5"/>
  <c r="A23" i="5"/>
  <c r="A24" i="5"/>
  <c r="A25" i="5"/>
  <c r="A26" i="5"/>
  <c r="A27" i="5"/>
  <c r="A28" i="5"/>
  <c r="A29" i="5"/>
  <c r="A30" i="5"/>
  <c r="A31" i="5"/>
  <c r="A32" i="5"/>
  <c r="A35" i="5"/>
  <c r="A34" i="5" s="1"/>
  <c r="A36" i="5"/>
  <c r="A37" i="5"/>
  <c r="A38" i="5"/>
  <c r="A39" i="5"/>
  <c r="A40" i="5"/>
  <c r="A41" i="5"/>
  <c r="A42" i="5"/>
  <c r="I102" i="5" l="1"/>
  <c r="N103" i="5"/>
  <c r="O102" i="5"/>
  <c r="H20" i="3"/>
  <c r="G22" i="3"/>
  <c r="H19" i="3"/>
  <c r="H15" i="3"/>
  <c r="G19" i="3"/>
  <c r="G16" i="3"/>
  <c r="G23" i="3"/>
  <c r="G20" i="3"/>
  <c r="G7" i="3"/>
  <c r="Q103" i="5"/>
  <c r="I103" i="5"/>
  <c r="O103" i="5"/>
  <c r="G11" i="3"/>
  <c r="H7" i="3"/>
  <c r="G18" i="3"/>
  <c r="J102" i="5"/>
  <c r="M102" i="5"/>
  <c r="G102" i="5"/>
  <c r="N102" i="5"/>
  <c r="G103" i="5"/>
  <c r="R102" i="5"/>
  <c r="G21" i="3"/>
  <c r="H14" i="3"/>
  <c r="G14" i="3"/>
  <c r="H21" i="3"/>
  <c r="F103" i="5"/>
  <c r="F118" i="5"/>
  <c r="R117" i="5"/>
  <c r="H22" i="3"/>
  <c r="F19" i="3"/>
  <c r="Q118" i="5"/>
  <c r="E16" i="3"/>
  <c r="E18" i="3"/>
  <c r="H17" i="3"/>
  <c r="Q102" i="5"/>
  <c r="P103" i="5"/>
  <c r="O118" i="5"/>
  <c r="F17" i="3"/>
  <c r="E17" i="3"/>
  <c r="E22" i="3"/>
  <c r="H13" i="3"/>
  <c r="G10" i="3"/>
  <c r="F102" i="5"/>
  <c r="K102" i="5"/>
  <c r="E13" i="3"/>
  <c r="F15" i="3"/>
  <c r="I118" i="5"/>
  <c r="G117" i="5"/>
  <c r="J117" i="5"/>
  <c r="J104" i="5" s="1"/>
  <c r="K118" i="5"/>
  <c r="P118" i="5"/>
  <c r="E12" i="3"/>
  <c r="H103" i="5"/>
  <c r="H102" i="5"/>
  <c r="E19" i="3"/>
  <c r="H10" i="3"/>
  <c r="L103" i="5"/>
  <c r="P117" i="5"/>
  <c r="N118" i="5"/>
  <c r="H118" i="5"/>
  <c r="J103" i="5"/>
  <c r="S103" i="5"/>
  <c r="S102" i="5"/>
  <c r="E10" i="3"/>
  <c r="F18" i="3"/>
  <c r="E20" i="3"/>
  <c r="S118" i="5"/>
  <c r="Q117" i="5"/>
  <c r="H18" i="3"/>
  <c r="G13" i="3"/>
  <c r="P102" i="5"/>
  <c r="L117" i="5"/>
  <c r="L104" i="5" s="1"/>
  <c r="H117" i="5"/>
  <c r="N117" i="5"/>
  <c r="E23" i="3"/>
  <c r="I117" i="5"/>
  <c r="R118" i="5"/>
  <c r="E21" i="3"/>
  <c r="E14" i="3"/>
  <c r="F117" i="5"/>
  <c r="E15" i="3"/>
  <c r="G118" i="5"/>
  <c r="K117" i="5"/>
  <c r="O117" i="5"/>
  <c r="F7" i="3"/>
  <c r="E11" i="3"/>
  <c r="H23" i="3"/>
  <c r="H12" i="3"/>
  <c r="G17" i="3"/>
  <c r="L102" i="5"/>
  <c r="R103" i="5"/>
  <c r="M117" i="5"/>
  <c r="E7" i="3"/>
  <c r="S117" i="5"/>
  <c r="F20" i="3"/>
  <c r="M118" i="5"/>
  <c r="F10" i="3"/>
  <c r="F11" i="3"/>
  <c r="I11" i="3" s="1"/>
  <c r="F16" i="3"/>
  <c r="F12" i="3"/>
  <c r="I12" i="3" s="1"/>
  <c r="F22" i="3"/>
  <c r="I22" i="3" s="1"/>
  <c r="F13" i="3"/>
  <c r="I13" i="3" s="1"/>
  <c r="F21" i="3"/>
  <c r="F23" i="3"/>
  <c r="F14" i="3"/>
  <c r="C103" i="5"/>
  <c r="F8" i="3"/>
  <c r="F9" i="3"/>
  <c r="C118" i="5"/>
  <c r="D118" i="5"/>
  <c r="C102" i="5"/>
  <c r="C117" i="5"/>
  <c r="E117" i="5"/>
  <c r="E104" i="5" s="1"/>
  <c r="D117" i="5"/>
  <c r="E9" i="3"/>
  <c r="E8" i="3"/>
  <c r="E102" i="5"/>
  <c r="E103" i="5"/>
  <c r="D103" i="5"/>
  <c r="D102" i="5"/>
  <c r="G9" i="3"/>
  <c r="G8" i="3"/>
  <c r="H8" i="3"/>
  <c r="H9" i="3"/>
  <c r="R104" i="5" l="1"/>
  <c r="G104" i="5"/>
  <c r="I21" i="3"/>
  <c r="I16" i="3"/>
  <c r="I20" i="3"/>
  <c r="N104" i="5"/>
  <c r="P104" i="5"/>
  <c r="K104" i="5"/>
  <c r="I10" i="3"/>
  <c r="I23" i="3"/>
  <c r="I18" i="3"/>
  <c r="I17" i="3"/>
  <c r="M104" i="5"/>
  <c r="I14" i="3"/>
  <c r="H104" i="5"/>
  <c r="O104" i="5"/>
  <c r="D104" i="5"/>
  <c r="I104" i="5"/>
  <c r="I7" i="3"/>
  <c r="I15" i="3"/>
  <c r="S104" i="5"/>
  <c r="Q104" i="5"/>
  <c r="I19" i="3"/>
  <c r="F104" i="5"/>
  <c r="I8" i="3"/>
  <c r="C104" i="5"/>
  <c r="I9" i="3"/>
</calcChain>
</file>

<file path=xl/sharedStrings.xml><?xml version="1.0" encoding="utf-8"?>
<sst xmlns="http://schemas.openxmlformats.org/spreadsheetml/2006/main" count="185" uniqueCount="44">
  <si>
    <t>Controle para a caixa de seleção do painel</t>
  </si>
  <si>
    <t>Elaboração e cálculos de variações: CEPERJ/CEEP/COPE e COGIN</t>
  </si>
  <si>
    <t>Variações %</t>
  </si>
  <si>
    <t>mês</t>
  </si>
  <si>
    <t>Ano</t>
  </si>
  <si>
    <t>Mês</t>
  </si>
  <si>
    <t>Total do ano</t>
  </si>
  <si>
    <t>Mês escolhido</t>
  </si>
  <si>
    <t>Mês anterior</t>
  </si>
  <si>
    <t>Mesmo mês escolhido, para o ano anterior</t>
  </si>
  <si>
    <t>Acumulado do ano escolhido</t>
  </si>
  <si>
    <t>Acumulado do ano anterior</t>
  </si>
  <si>
    <t>Escolha o ano/mês clicando abaixo</t>
  </si>
  <si>
    <t>Escolha o ano/mês de referência das variações clicando abaixo</t>
  </si>
  <si>
    <t>Indústrias extrativas</t>
  </si>
  <si>
    <t>Indústrias de transformação</t>
  </si>
  <si>
    <t>lista_industria</t>
  </si>
  <si>
    <t>lista_comercio</t>
  </si>
  <si>
    <t>lista_serviços</t>
  </si>
  <si>
    <t>Indústria geral com ajuste</t>
  </si>
  <si>
    <t>Indústria geral sem ajustes</t>
  </si>
  <si>
    <t>Fabricação de produtos alimentícios</t>
  </si>
  <si>
    <t>Fabricação de bebidas</t>
  </si>
  <si>
    <t>Impressão e reprodução de gravações</t>
  </si>
  <si>
    <t>Fabricação de coque, de produtos derivados do petróleo e de biocombustíveis</t>
  </si>
  <si>
    <t>Fabricação de outros produtos químicos</t>
  </si>
  <si>
    <t>Fabricação de produtos farmoquímicos e farmacêuticos</t>
  </si>
  <si>
    <t>Fabricação de produtos de borracha e de material plástico</t>
  </si>
  <si>
    <t>Fabricação de produtos de minerais não-metálicos</t>
  </si>
  <si>
    <t>Metalurgia</t>
  </si>
  <si>
    <t>Fabricação de produtos de metal, exceto máquinas e equipamentos</t>
  </si>
  <si>
    <t>Fabricação de veículos automotores, reboques e carrocerias</t>
  </si>
  <si>
    <t>Fabricação de outros equipamentos de transporte, exceto veículos automotores</t>
  </si>
  <si>
    <t>Manutenção, reparação e instalação de máquinas e equipamentos</t>
  </si>
  <si>
    <t>Indicadores de Indústria</t>
  </si>
  <si>
    <t>Indicadores Industria</t>
  </si>
  <si>
    <t>PAINEL DAS VARIAÇÕES DOS INDICADORES ATIVIDADES INDUSTRIAIS DO ESTADO DO RIO DE JANEIRO</t>
  </si>
  <si>
    <t xml:space="preserve">Fonte: IBGE - Pesquisa Industrial Mensal - Produção Física. </t>
  </si>
  <si>
    <t>Indicadores de Atividades Industriais do Estado do Rio de Janeiro</t>
  </si>
  <si>
    <t>Atividades Industriais (CNAE 2.0)</t>
  </si>
  <si>
    <t>-</t>
  </si>
  <si>
    <t>Período: 2017 a 2023</t>
  </si>
  <si>
    <r>
      <t xml:space="preserve">Índice de base fixa </t>
    </r>
    <r>
      <rPr>
        <sz val="10.5"/>
        <color theme="1"/>
        <rFont val="Calibri"/>
        <family val="2"/>
        <scheme val="minor"/>
      </rPr>
      <t>(base: média de 2022 = 100) (Número-índice)</t>
    </r>
  </si>
  <si>
    <t>Índice de base fixa (base: média de 2022 = 100) (Número-índice)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</si>
</sst>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General_)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33333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indexed="64"/>
      <name val="Calibri"/>
      <family val="2"/>
      <scheme val="minor"/>
    </font>
    <font>
      <sz val="8"/>
      <color indexed="64"/>
      <name val="Arial"/>
      <family val="2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8"/>
      <color theme="1"/>
      <name val="Arial"/>
      <family val="2"/>
    </font>
    <font>
      <sz val="11"/>
      <color indexed="64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0" fontId="29" fillId="0" borderId="0"/>
  </cellStyleXfs>
  <cellXfs count="143">
    <xf numFmtId="0" fontId="0" fillId="0" borderId="0" xfId="0"/>
    <xf numFmtId="0" fontId="1" fillId="0" borderId="0" xfId="0" applyFont="1"/>
    <xf numFmtId="0" fontId="0" fillId="2" borderId="0" xfId="0" applyFill="1"/>
    <xf numFmtId="17" fontId="0" fillId="0" borderId="0" xfId="0" applyNumberFormat="1"/>
    <xf numFmtId="17" fontId="0" fillId="2" borderId="0" xfId="0" applyNumberFormat="1" applyFill="1"/>
    <xf numFmtId="0" fontId="8" fillId="0" borderId="0" xfId="0" applyFont="1"/>
    <xf numFmtId="0" fontId="12" fillId="0" borderId="0" xfId="0" applyFont="1"/>
    <xf numFmtId="0" fontId="0" fillId="3" borderId="0" xfId="0" applyFill="1"/>
    <xf numFmtId="17" fontId="0" fillId="3" borderId="0" xfId="0" applyNumberFormat="1" applyFill="1"/>
    <xf numFmtId="17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3" fillId="0" borderId="2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/>
    </xf>
    <xf numFmtId="17" fontId="0" fillId="0" borderId="0" xfId="0" applyNumberFormat="1" applyAlignment="1">
      <alignment horizontal="left"/>
    </xf>
    <xf numFmtId="49" fontId="14" fillId="0" borderId="0" xfId="2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2" fillId="0" borderId="0" xfId="0" applyFont="1" applyAlignment="1">
      <alignment vertical="center"/>
    </xf>
    <xf numFmtId="3" fontId="18" fillId="6" borderId="6" xfId="2" applyNumberFormat="1" applyFont="1" applyFill="1" applyBorder="1" applyAlignment="1">
      <alignment horizontal="right" vertical="center" wrapText="1"/>
    </xf>
    <xf numFmtId="4" fontId="18" fillId="6" borderId="6" xfId="0" applyNumberFormat="1" applyFont="1" applyFill="1" applyBorder="1" applyAlignment="1">
      <alignment horizontal="right" vertical="center" wrapText="1"/>
    </xf>
    <xf numFmtId="0" fontId="21" fillId="5" borderId="13" xfId="0" applyFont="1" applyFill="1" applyBorder="1" applyAlignment="1">
      <alignment horizontal="left" vertical="top" wrapText="1"/>
    </xf>
    <xf numFmtId="4" fontId="21" fillId="5" borderId="0" xfId="0" applyNumberFormat="1" applyFont="1" applyFill="1" applyAlignment="1">
      <alignment horizontal="right" vertical="top"/>
    </xf>
    <xf numFmtId="4" fontId="21" fillId="5" borderId="5" xfId="0" applyNumberFormat="1" applyFont="1" applyFill="1" applyBorder="1" applyAlignment="1">
      <alignment horizontal="right" vertical="top"/>
    </xf>
    <xf numFmtId="2" fontId="22" fillId="5" borderId="13" xfId="0" applyNumberFormat="1" applyFont="1" applyFill="1" applyBorder="1" applyAlignment="1">
      <alignment horizontal="left" vertical="top" wrapText="1"/>
    </xf>
    <xf numFmtId="0" fontId="22" fillId="5" borderId="14" xfId="0" applyFont="1" applyFill="1" applyBorder="1" applyAlignment="1">
      <alignment horizontal="left" vertical="top" wrapText="1"/>
    </xf>
    <xf numFmtId="4" fontId="21" fillId="5" borderId="6" xfId="0" applyNumberFormat="1" applyFont="1" applyFill="1" applyBorder="1" applyAlignment="1">
      <alignment horizontal="right" vertical="top"/>
    </xf>
    <xf numFmtId="4" fontId="21" fillId="5" borderId="7" xfId="0" applyNumberFormat="1" applyFont="1" applyFill="1" applyBorder="1" applyAlignment="1">
      <alignment horizontal="right" vertical="top"/>
    </xf>
    <xf numFmtId="0" fontId="22" fillId="3" borderId="0" xfId="1" applyFont="1" applyFill="1"/>
    <xf numFmtId="2" fontId="21" fillId="0" borderId="0" xfId="0" applyNumberFormat="1" applyFont="1"/>
    <xf numFmtId="0" fontId="12" fillId="0" borderId="0" xfId="0" applyFont="1" applyAlignment="1">
      <alignment horizontal="left"/>
    </xf>
    <xf numFmtId="17" fontId="7" fillId="2" borderId="2" xfId="1" applyNumberFormat="1" applyFont="1" applyFill="1" applyBorder="1" applyAlignment="1">
      <alignment horizontal="center" vertical="center"/>
    </xf>
    <xf numFmtId="166" fontId="6" fillId="2" borderId="2" xfId="2" applyNumberFormat="1" applyFont="1" applyFill="1" applyBorder="1" applyAlignment="1">
      <alignment horizontal="right" vertical="top"/>
    </xf>
    <xf numFmtId="17" fontId="7" fillId="2" borderId="2" xfId="1" applyNumberFormat="1" applyFont="1" applyFill="1" applyBorder="1" applyAlignment="1">
      <alignment horizontal="center" vertical="center" wrapText="1"/>
    </xf>
    <xf numFmtId="3" fontId="18" fillId="6" borderId="8" xfId="2" applyNumberFormat="1" applyFont="1" applyFill="1" applyBorder="1" applyAlignment="1">
      <alignment horizontal="right" vertical="center" wrapText="1"/>
    </xf>
    <xf numFmtId="4" fontId="18" fillId="6" borderId="8" xfId="0" applyNumberFormat="1" applyFont="1" applyFill="1" applyBorder="1" applyAlignment="1">
      <alignment horizontal="right" vertical="center" wrapText="1"/>
    </xf>
    <xf numFmtId="4" fontId="18" fillId="6" borderId="9" xfId="0" applyNumberFormat="1" applyFont="1" applyFill="1" applyBorder="1" applyAlignment="1">
      <alignment horizontal="right" vertical="center" wrapText="1"/>
    </xf>
    <xf numFmtId="4" fontId="18" fillId="6" borderId="7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left"/>
    </xf>
    <xf numFmtId="167" fontId="3" fillId="0" borderId="0" xfId="0" applyNumberFormat="1" applyFont="1"/>
    <xf numFmtId="2" fontId="8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23" fillId="0" borderId="0" xfId="0" applyNumberFormat="1" applyFont="1"/>
    <xf numFmtId="0" fontId="24" fillId="0" borderId="0" xfId="0" applyFont="1"/>
    <xf numFmtId="4" fontId="0" fillId="4" borderId="0" xfId="0" applyNumberFormat="1" applyFill="1"/>
    <xf numFmtId="3" fontId="18" fillId="6" borderId="0" xfId="2" applyNumberFormat="1" applyFont="1" applyFill="1" applyBorder="1" applyAlignment="1">
      <alignment horizontal="right" vertical="center" wrapText="1"/>
    </xf>
    <xf numFmtId="4" fontId="18" fillId="6" borderId="0" xfId="0" applyNumberFormat="1" applyFont="1" applyFill="1" applyAlignment="1">
      <alignment horizontal="right" vertical="center" wrapText="1"/>
    </xf>
    <xf numFmtId="165" fontId="18" fillId="6" borderId="8" xfId="2" applyNumberFormat="1" applyFont="1" applyFill="1" applyBorder="1" applyAlignment="1">
      <alignment horizontal="right" vertical="center" wrapText="1"/>
    </xf>
    <xf numFmtId="165" fontId="18" fillId="6" borderId="6" xfId="2" applyNumberFormat="1" applyFont="1" applyFill="1" applyBorder="1" applyAlignment="1">
      <alignment horizontal="right" vertical="center" wrapText="1"/>
    </xf>
    <xf numFmtId="165" fontId="18" fillId="6" borderId="0" xfId="2" applyNumberFormat="1" applyFont="1" applyFill="1" applyBorder="1" applyAlignment="1">
      <alignment horizontal="right" vertical="center" wrapText="1"/>
    </xf>
    <xf numFmtId="4" fontId="18" fillId="6" borderId="5" xfId="0" applyNumberFormat="1" applyFont="1" applyFill="1" applyBorder="1" applyAlignment="1">
      <alignment horizontal="right" vertical="center" wrapText="1"/>
    </xf>
    <xf numFmtId="165" fontId="18" fillId="6" borderId="12" xfId="2" applyNumberFormat="1" applyFont="1" applyFill="1" applyBorder="1" applyAlignment="1">
      <alignment horizontal="left" vertical="center" wrapText="1"/>
    </xf>
    <xf numFmtId="165" fontId="18" fillId="6" borderId="13" xfId="2" applyNumberFormat="1" applyFont="1" applyFill="1" applyBorder="1" applyAlignment="1">
      <alignment horizontal="left" vertical="center" wrapText="1"/>
    </xf>
    <xf numFmtId="165" fontId="18" fillId="6" borderId="14" xfId="2" applyNumberFormat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/>
    </xf>
    <xf numFmtId="0" fontId="10" fillId="3" borderId="0" xfId="1" applyFont="1" applyFill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/>
    <xf numFmtId="0" fontId="13" fillId="0" borderId="0" xfId="0" applyFont="1" applyAlignment="1">
      <alignment horizontal="left"/>
    </xf>
    <xf numFmtId="4" fontId="6" fillId="2" borderId="2" xfId="2" applyNumberFormat="1" applyFont="1" applyFill="1" applyBorder="1" applyAlignment="1">
      <alignment horizontal="right" vertical="top"/>
    </xf>
    <xf numFmtId="0" fontId="20" fillId="9" borderId="13" xfId="1" applyFont="1" applyFill="1" applyBorder="1" applyAlignment="1">
      <alignment horizontal="left" vertical="center"/>
    </xf>
    <xf numFmtId="0" fontId="21" fillId="9" borderId="0" xfId="0" applyFont="1" applyFill="1"/>
    <xf numFmtId="0" fontId="13" fillId="9" borderId="0" xfId="0" applyFont="1" applyFill="1"/>
    <xf numFmtId="0" fontId="13" fillId="9" borderId="5" xfId="0" applyFont="1" applyFill="1" applyBorder="1"/>
    <xf numFmtId="0" fontId="25" fillId="6" borderId="0" xfId="0" applyFont="1" applyFill="1" applyAlignment="1">
      <alignment horizontal="left"/>
    </xf>
    <xf numFmtId="0" fontId="25" fillId="6" borderId="0" xfId="0" applyFont="1" applyFill="1"/>
    <xf numFmtId="0" fontId="17" fillId="10" borderId="2" xfId="0" applyFont="1" applyFill="1" applyBorder="1" applyAlignment="1">
      <alignment horizontal="center" vertical="center" wrapText="1"/>
    </xf>
    <xf numFmtId="17" fontId="17" fillId="10" borderId="16" xfId="1" applyNumberFormat="1" applyFont="1" applyFill="1" applyBorder="1" applyAlignment="1">
      <alignment horizontal="center" vertical="center"/>
    </xf>
    <xf numFmtId="17" fontId="17" fillId="10" borderId="16" xfId="1" applyNumberFormat="1" applyFont="1" applyFill="1" applyBorder="1" applyAlignment="1">
      <alignment horizontal="center" vertical="center" wrapText="1"/>
    </xf>
    <xf numFmtId="165" fontId="19" fillId="11" borderId="13" xfId="2" applyNumberFormat="1" applyFont="1" applyFill="1" applyBorder="1" applyAlignment="1">
      <alignment horizontal="left" vertical="center" wrapText="1"/>
    </xf>
    <xf numFmtId="165" fontId="19" fillId="11" borderId="0" xfId="2" applyNumberFormat="1" applyFont="1" applyFill="1" applyBorder="1" applyAlignment="1">
      <alignment horizontal="right" vertical="center" wrapText="1"/>
    </xf>
    <xf numFmtId="3" fontId="19" fillId="11" borderId="0" xfId="2" applyNumberFormat="1" applyFont="1" applyFill="1" applyBorder="1" applyAlignment="1">
      <alignment horizontal="right" vertical="center" wrapText="1"/>
    </xf>
    <xf numFmtId="4" fontId="19" fillId="11" borderId="0" xfId="0" applyNumberFormat="1" applyFont="1" applyFill="1" applyAlignment="1">
      <alignment horizontal="right" vertical="center" wrapText="1"/>
    </xf>
    <xf numFmtId="4" fontId="19" fillId="11" borderId="5" xfId="0" applyNumberFormat="1" applyFont="1" applyFill="1" applyBorder="1" applyAlignment="1">
      <alignment horizontal="right" vertical="center" wrapText="1"/>
    </xf>
    <xf numFmtId="0" fontId="28" fillId="12" borderId="23" xfId="0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left" vertical="center"/>
    </xf>
    <xf numFmtId="17" fontId="15" fillId="10" borderId="8" xfId="0" applyNumberFormat="1" applyFont="1" applyFill="1" applyBorder="1" applyAlignment="1">
      <alignment horizontal="center" vertical="center"/>
    </xf>
    <xf numFmtId="165" fontId="15" fillId="10" borderId="8" xfId="0" applyNumberFormat="1" applyFont="1" applyFill="1" applyBorder="1" applyAlignment="1">
      <alignment vertical="center"/>
    </xf>
    <xf numFmtId="165" fontId="15" fillId="10" borderId="9" xfId="0" applyNumberFormat="1" applyFont="1" applyFill="1" applyBorder="1" applyAlignment="1">
      <alignment vertical="center"/>
    </xf>
    <xf numFmtId="0" fontId="13" fillId="10" borderId="13" xfId="0" applyFont="1" applyFill="1" applyBorder="1" applyAlignment="1">
      <alignment horizontal="left"/>
    </xf>
    <xf numFmtId="17" fontId="13" fillId="10" borderId="0" xfId="0" applyNumberFormat="1" applyFont="1" applyFill="1" applyAlignment="1">
      <alignment horizontal="center"/>
    </xf>
    <xf numFmtId="165" fontId="13" fillId="10" borderId="0" xfId="0" applyNumberFormat="1" applyFont="1" applyFill="1" applyAlignment="1">
      <alignment vertical="center"/>
    </xf>
    <xf numFmtId="165" fontId="13" fillId="10" borderId="5" xfId="0" applyNumberFormat="1" applyFont="1" applyFill="1" applyBorder="1" applyAlignment="1">
      <alignment vertical="center"/>
    </xf>
    <xf numFmtId="0" fontId="15" fillId="10" borderId="13" xfId="0" applyFont="1" applyFill="1" applyBorder="1" applyAlignment="1">
      <alignment horizontal="left" vertical="center"/>
    </xf>
    <xf numFmtId="17" fontId="15" fillId="10" borderId="0" xfId="0" applyNumberFormat="1" applyFont="1" applyFill="1" applyAlignment="1">
      <alignment horizontal="center" vertical="center"/>
    </xf>
    <xf numFmtId="165" fontId="15" fillId="10" borderId="0" xfId="0" applyNumberFormat="1" applyFont="1" applyFill="1" applyAlignment="1">
      <alignment vertical="center"/>
    </xf>
    <xf numFmtId="165" fontId="15" fillId="10" borderId="5" xfId="0" applyNumberFormat="1" applyFont="1" applyFill="1" applyBorder="1" applyAlignment="1">
      <alignment vertical="center"/>
    </xf>
    <xf numFmtId="0" fontId="15" fillId="10" borderId="13" xfId="0" applyFont="1" applyFill="1" applyBorder="1" applyAlignment="1">
      <alignment horizontal="left"/>
    </xf>
    <xf numFmtId="17" fontId="13" fillId="10" borderId="0" xfId="0" applyNumberFormat="1" applyFont="1" applyFill="1" applyAlignment="1">
      <alignment horizontal="center" vertical="center"/>
    </xf>
    <xf numFmtId="0" fontId="13" fillId="10" borderId="14" xfId="0" applyFont="1" applyFill="1" applyBorder="1" applyAlignment="1">
      <alignment horizontal="left"/>
    </xf>
    <xf numFmtId="17" fontId="13" fillId="10" borderId="6" xfId="0" applyNumberFormat="1" applyFont="1" applyFill="1" applyBorder="1" applyAlignment="1">
      <alignment horizontal="center"/>
    </xf>
    <xf numFmtId="165" fontId="13" fillId="10" borderId="6" xfId="0" applyNumberFormat="1" applyFont="1" applyFill="1" applyBorder="1" applyAlignment="1">
      <alignment vertical="center"/>
    </xf>
    <xf numFmtId="165" fontId="13" fillId="10" borderId="7" xfId="0" applyNumberFormat="1" applyFont="1" applyFill="1" applyBorder="1" applyAlignment="1">
      <alignment vertical="center"/>
    </xf>
    <xf numFmtId="164" fontId="30" fillId="0" borderId="19" xfId="0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right" vertical="center"/>
    </xf>
    <xf numFmtId="164" fontId="30" fillId="0" borderId="20" xfId="0" applyNumberFormat="1" applyFont="1" applyBorder="1" applyAlignment="1">
      <alignment horizontal="right" vertical="center"/>
    </xf>
    <xf numFmtId="164" fontId="30" fillId="0" borderId="0" xfId="0" applyNumberFormat="1" applyFont="1"/>
    <xf numFmtId="164" fontId="31" fillId="0" borderId="0" xfId="0" applyNumberFormat="1" applyFont="1"/>
    <xf numFmtId="164" fontId="30" fillId="0" borderId="0" xfId="0" applyNumberFormat="1" applyFont="1" applyAlignment="1">
      <alignment horizontal="right"/>
    </xf>
    <xf numFmtId="0" fontId="30" fillId="0" borderId="0" xfId="0" applyFont="1"/>
    <xf numFmtId="164" fontId="30" fillId="0" borderId="20" xfId="0" applyNumberFormat="1" applyFont="1" applyBorder="1"/>
    <xf numFmtId="164" fontId="31" fillId="0" borderId="20" xfId="0" applyNumberFormat="1" applyFont="1" applyBorder="1"/>
    <xf numFmtId="164" fontId="30" fillId="3" borderId="0" xfId="0" applyNumberFormat="1" applyFont="1" applyFill="1"/>
    <xf numFmtId="164" fontId="31" fillId="3" borderId="0" xfId="0" applyNumberFormat="1" applyFont="1" applyFill="1"/>
    <xf numFmtId="165" fontId="30" fillId="0" borderId="20" xfId="0" applyNumberFormat="1" applyFont="1" applyBorder="1"/>
    <xf numFmtId="164" fontId="31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164" fontId="30" fillId="0" borderId="20" xfId="0" applyNumberFormat="1" applyFont="1" applyBorder="1" applyAlignment="1">
      <alignment horizontal="right"/>
    </xf>
    <xf numFmtId="164" fontId="30" fillId="3" borderId="0" xfId="0" applyNumberFormat="1" applyFont="1" applyFill="1" applyAlignment="1">
      <alignment horizontal="right"/>
    </xf>
    <xf numFmtId="0" fontId="7" fillId="7" borderId="12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17" fontId="0" fillId="8" borderId="14" xfId="0" applyNumberFormat="1" applyFill="1" applyBorder="1" applyAlignment="1">
      <alignment horizontal="center" vertical="center"/>
    </xf>
    <xf numFmtId="17" fontId="0" fillId="8" borderId="6" xfId="0" applyNumberFormat="1" applyFill="1" applyBorder="1" applyAlignment="1">
      <alignment horizontal="center" vertical="center"/>
    </xf>
    <xf numFmtId="17" fontId="0" fillId="8" borderId="7" xfId="0" applyNumberFormat="1" applyFill="1" applyBorder="1" applyAlignment="1">
      <alignment horizontal="center" vertical="center"/>
    </xf>
    <xf numFmtId="0" fontId="27" fillId="6" borderId="0" xfId="0" applyFont="1" applyFill="1" applyAlignment="1">
      <alignment horizontal="center"/>
    </xf>
    <xf numFmtId="0" fontId="16" fillId="6" borderId="12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17" fontId="7" fillId="10" borderId="16" xfId="1" applyNumberFormat="1" applyFont="1" applyFill="1" applyBorder="1" applyAlignment="1">
      <alignment horizontal="left" vertical="center"/>
    </xf>
    <xf numFmtId="17" fontId="7" fillId="10" borderId="18" xfId="1" applyNumberFormat="1" applyFont="1" applyFill="1" applyBorder="1" applyAlignment="1">
      <alignment horizontal="left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17" fontId="17" fillId="10" borderId="2" xfId="1" applyNumberFormat="1" applyFont="1" applyFill="1" applyBorder="1" applyAlignment="1">
      <alignment horizontal="center" vertical="center" wrapText="1"/>
    </xf>
    <xf numFmtId="17" fontId="17" fillId="10" borderId="16" xfId="1" applyNumberFormat="1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17" fontId="0" fillId="8" borderId="13" xfId="0" applyNumberFormat="1" applyFill="1" applyBorder="1" applyAlignment="1">
      <alignment horizontal="center" vertical="center"/>
    </xf>
    <xf numFmtId="17" fontId="0" fillId="8" borderId="0" xfId="0" applyNumberFormat="1" applyFill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15" xfId="0" applyFont="1" applyFill="1" applyBorder="1" applyAlignment="1">
      <alignment horizontal="center" vertical="center"/>
    </xf>
    <xf numFmtId="0" fontId="15" fillId="12" borderId="22" xfId="0" applyFont="1" applyFill="1" applyBorder="1" applyAlignment="1">
      <alignment horizontal="center" vertical="center"/>
    </xf>
    <xf numFmtId="0" fontId="26" fillId="12" borderId="21" xfId="0" applyFont="1" applyFill="1" applyBorder="1" applyAlignment="1">
      <alignment horizontal="center" vertical="center"/>
    </xf>
    <xf numFmtId="0" fontId="26" fillId="12" borderId="10" xfId="0" applyFont="1" applyFill="1" applyBorder="1" applyAlignment="1">
      <alignment horizontal="center" vertical="center"/>
    </xf>
    <xf numFmtId="0" fontId="26" fillId="12" borderId="11" xfId="0" applyFont="1" applyFill="1" applyBorder="1" applyAlignment="1">
      <alignment horizontal="center" vertical="center"/>
    </xf>
    <xf numFmtId="165" fontId="10" fillId="10" borderId="0" xfId="0" applyNumberFormat="1" applyFont="1" applyFill="1" applyAlignment="1">
      <alignment vertical="center"/>
    </xf>
  </cellXfs>
  <cellStyles count="4">
    <cellStyle name="Normal" xfId="0" builtinId="0"/>
    <cellStyle name="Normal 2" xfId="3" xr:uid="{00000000-0005-0000-0000-000001000000}"/>
    <cellStyle name="Normal 5" xfId="1" xr:uid="{00000000-0005-0000-0000-000002000000}"/>
    <cellStyle name="Vírgula" xfId="2" builtinId="3"/>
  </cellStyles>
  <dxfs count="0"/>
  <tableStyles count="0" defaultTableStyle="TableStyleMedium2" defaultPivotStyle="PivotStyleLight16"/>
  <colors>
    <mruColors>
      <color rgb="FFCAE2BC"/>
      <color rgb="FFBAD9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2"/>
  <sheetViews>
    <sheetView topLeftCell="A51" workbookViewId="0">
      <selection activeCell="O73" sqref="O73"/>
    </sheetView>
  </sheetViews>
  <sheetFormatPr defaultRowHeight="15" x14ac:dyDescent="0.25"/>
  <sheetData>
    <row r="1" spans="1:10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E2" t="s">
        <v>16</v>
      </c>
      <c r="H2" t="s">
        <v>17</v>
      </c>
      <c r="J2" t="s">
        <v>18</v>
      </c>
    </row>
    <row r="3" spans="1:10" x14ac:dyDescent="0.25">
      <c r="A3" s="2"/>
      <c r="B3" s="4"/>
      <c r="D3" s="3"/>
      <c r="E3" s="4">
        <v>42736</v>
      </c>
      <c r="F3" s="2"/>
      <c r="G3" s="2"/>
      <c r="H3" s="4">
        <v>42736</v>
      </c>
      <c r="J3" s="4">
        <v>42736</v>
      </c>
    </row>
    <row r="4" spans="1:10" x14ac:dyDescent="0.25">
      <c r="A4" s="2"/>
      <c r="B4" s="4"/>
      <c r="E4" s="4">
        <v>42767</v>
      </c>
      <c r="F4" s="2"/>
      <c r="G4" s="2"/>
      <c r="H4" s="4">
        <v>42767</v>
      </c>
      <c r="J4" s="4">
        <v>42767</v>
      </c>
    </row>
    <row r="5" spans="1:10" x14ac:dyDescent="0.25">
      <c r="A5" s="2"/>
      <c r="B5" s="4"/>
      <c r="E5" s="4">
        <v>42795</v>
      </c>
      <c r="H5" s="4">
        <v>42795</v>
      </c>
      <c r="J5" s="4">
        <v>42795</v>
      </c>
    </row>
    <row r="6" spans="1:10" x14ac:dyDescent="0.25">
      <c r="A6" s="2"/>
      <c r="B6" s="4"/>
      <c r="E6" s="4">
        <v>42826</v>
      </c>
      <c r="H6" s="4">
        <v>42826</v>
      </c>
      <c r="J6" s="4">
        <v>42826</v>
      </c>
    </row>
    <row r="7" spans="1:10" x14ac:dyDescent="0.25">
      <c r="A7" s="2"/>
      <c r="B7" s="4"/>
      <c r="E7" s="4">
        <v>42856</v>
      </c>
      <c r="H7" s="4">
        <v>42856</v>
      </c>
      <c r="J7" s="4">
        <v>42856</v>
      </c>
    </row>
    <row r="8" spans="1:10" x14ac:dyDescent="0.25">
      <c r="A8" s="2"/>
      <c r="B8" s="4"/>
      <c r="E8" s="4">
        <v>42887</v>
      </c>
      <c r="H8" s="4">
        <v>42887</v>
      </c>
      <c r="J8" s="4">
        <v>42887</v>
      </c>
    </row>
    <row r="9" spans="1:10" x14ac:dyDescent="0.25">
      <c r="A9" s="2"/>
      <c r="B9" s="4"/>
      <c r="E9" s="4">
        <v>42917</v>
      </c>
      <c r="H9" s="4">
        <v>42917</v>
      </c>
      <c r="J9" s="4">
        <v>42917</v>
      </c>
    </row>
    <row r="10" spans="1:10" x14ac:dyDescent="0.25">
      <c r="A10" s="2"/>
      <c r="B10" s="4"/>
      <c r="E10" s="4">
        <v>42948</v>
      </c>
      <c r="H10" s="4">
        <v>42948</v>
      </c>
      <c r="J10" s="4">
        <v>42948</v>
      </c>
    </row>
    <row r="11" spans="1:10" x14ac:dyDescent="0.25">
      <c r="A11" s="2"/>
      <c r="B11" s="4"/>
      <c r="E11" s="4">
        <v>42979</v>
      </c>
      <c r="H11" s="4">
        <v>42979</v>
      </c>
      <c r="J11" s="4">
        <v>42979</v>
      </c>
    </row>
    <row r="12" spans="1:10" x14ac:dyDescent="0.25">
      <c r="A12" s="2"/>
      <c r="B12" s="4"/>
      <c r="E12" s="4">
        <v>43009</v>
      </c>
      <c r="H12" s="4">
        <v>43009</v>
      </c>
      <c r="J12" s="4">
        <v>43009</v>
      </c>
    </row>
    <row r="13" spans="1:10" x14ac:dyDescent="0.25">
      <c r="A13" s="2"/>
      <c r="B13" s="4"/>
      <c r="E13" s="4">
        <v>43040</v>
      </c>
      <c r="H13" s="4">
        <v>43040</v>
      </c>
      <c r="J13" s="4">
        <v>43040</v>
      </c>
    </row>
    <row r="14" spans="1:10" x14ac:dyDescent="0.25">
      <c r="A14" s="2"/>
      <c r="B14" s="4"/>
      <c r="E14" s="4">
        <v>43070</v>
      </c>
      <c r="H14" s="4">
        <v>43070</v>
      </c>
      <c r="J14" s="4">
        <v>43070</v>
      </c>
    </row>
    <row r="15" spans="1:10" x14ac:dyDescent="0.25">
      <c r="A15" s="2"/>
      <c r="B15" s="4"/>
      <c r="E15" s="4">
        <v>43101</v>
      </c>
      <c r="H15" s="4">
        <v>43101</v>
      </c>
      <c r="J15" s="4">
        <v>43101</v>
      </c>
    </row>
    <row r="16" spans="1:10" x14ac:dyDescent="0.25">
      <c r="A16" s="2"/>
      <c r="B16" s="4"/>
      <c r="E16" s="4">
        <v>43132</v>
      </c>
      <c r="H16" s="4">
        <v>43132</v>
      </c>
      <c r="J16" s="4">
        <v>43132</v>
      </c>
    </row>
    <row r="17" spans="1:10" x14ac:dyDescent="0.25">
      <c r="A17" s="2"/>
      <c r="B17" s="4"/>
      <c r="E17" s="4">
        <v>43160</v>
      </c>
      <c r="H17" s="4">
        <v>43160</v>
      </c>
      <c r="J17" s="4">
        <v>43160</v>
      </c>
    </row>
    <row r="18" spans="1:10" x14ac:dyDescent="0.25">
      <c r="A18" s="2"/>
      <c r="B18" s="4"/>
      <c r="E18" s="4">
        <v>43191</v>
      </c>
      <c r="H18" s="4">
        <v>43191</v>
      </c>
      <c r="J18" s="4">
        <v>43191</v>
      </c>
    </row>
    <row r="19" spans="1:10" x14ac:dyDescent="0.25">
      <c r="A19" s="2"/>
      <c r="B19" s="4"/>
      <c r="E19" s="4">
        <v>43221</v>
      </c>
      <c r="H19" s="4">
        <v>43221</v>
      </c>
      <c r="J19" s="4">
        <v>43221</v>
      </c>
    </row>
    <row r="20" spans="1:10" x14ac:dyDescent="0.25">
      <c r="A20" s="2"/>
      <c r="B20" s="4"/>
      <c r="E20" s="4">
        <v>43252</v>
      </c>
      <c r="H20" s="4">
        <v>43252</v>
      </c>
      <c r="J20" s="4">
        <v>43252</v>
      </c>
    </row>
    <row r="21" spans="1:10" x14ac:dyDescent="0.25">
      <c r="A21" s="2"/>
      <c r="B21" s="4"/>
      <c r="E21" s="4">
        <v>43282</v>
      </c>
      <c r="H21" s="4">
        <v>43282</v>
      </c>
      <c r="J21" s="4">
        <v>43282</v>
      </c>
    </row>
    <row r="22" spans="1:10" x14ac:dyDescent="0.25">
      <c r="A22" s="2"/>
      <c r="B22" s="4"/>
      <c r="E22" s="4">
        <v>43313</v>
      </c>
      <c r="H22" s="4">
        <v>43313</v>
      </c>
      <c r="J22" s="4">
        <v>43313</v>
      </c>
    </row>
    <row r="23" spans="1:10" x14ac:dyDescent="0.25">
      <c r="A23" s="2"/>
      <c r="B23" s="4"/>
      <c r="E23" s="4">
        <v>43344</v>
      </c>
      <c r="H23" s="4">
        <v>43344</v>
      </c>
      <c r="J23" s="4">
        <v>43344</v>
      </c>
    </row>
    <row r="24" spans="1:10" x14ac:dyDescent="0.25">
      <c r="A24" s="2"/>
      <c r="B24" s="4"/>
      <c r="E24" s="4">
        <v>43374</v>
      </c>
      <c r="H24" s="4">
        <v>43374</v>
      </c>
      <c r="J24" s="4">
        <v>43374</v>
      </c>
    </row>
    <row r="25" spans="1:10" x14ac:dyDescent="0.25">
      <c r="A25" s="2"/>
      <c r="B25" s="4"/>
      <c r="E25" s="4">
        <v>43405</v>
      </c>
      <c r="H25" s="4">
        <v>43405</v>
      </c>
      <c r="J25" s="4">
        <v>43405</v>
      </c>
    </row>
    <row r="26" spans="1:10" x14ac:dyDescent="0.25">
      <c r="A26" s="2"/>
      <c r="B26" s="4"/>
      <c r="E26" s="4">
        <v>43435</v>
      </c>
      <c r="H26" s="4">
        <v>43435</v>
      </c>
      <c r="J26" s="4">
        <v>43435</v>
      </c>
    </row>
    <row r="27" spans="1:10" x14ac:dyDescent="0.25">
      <c r="A27" s="2"/>
      <c r="B27" s="4"/>
      <c r="E27" s="4">
        <v>43466</v>
      </c>
      <c r="H27" s="4">
        <v>43466</v>
      </c>
      <c r="J27" s="4">
        <v>43466</v>
      </c>
    </row>
    <row r="28" spans="1:10" x14ac:dyDescent="0.25">
      <c r="A28" s="2"/>
      <c r="B28" s="4"/>
      <c r="E28" s="4">
        <v>43497</v>
      </c>
      <c r="H28" s="4">
        <v>43497</v>
      </c>
      <c r="J28" s="4">
        <v>43497</v>
      </c>
    </row>
    <row r="29" spans="1:10" x14ac:dyDescent="0.25">
      <c r="A29" s="2"/>
      <c r="B29" s="4"/>
      <c r="E29" s="4">
        <v>43525</v>
      </c>
      <c r="H29" s="4">
        <v>43525</v>
      </c>
      <c r="J29" s="4">
        <v>43525</v>
      </c>
    </row>
    <row r="30" spans="1:10" x14ac:dyDescent="0.25">
      <c r="A30" s="2"/>
      <c r="B30" s="4"/>
      <c r="E30" s="4">
        <v>43556</v>
      </c>
      <c r="H30" s="4">
        <v>43556</v>
      </c>
      <c r="J30" s="4">
        <v>43556</v>
      </c>
    </row>
    <row r="31" spans="1:10" x14ac:dyDescent="0.25">
      <c r="A31" s="2"/>
      <c r="B31" s="4"/>
      <c r="E31" s="4">
        <v>43586</v>
      </c>
      <c r="H31" s="4">
        <v>43586</v>
      </c>
      <c r="J31" s="4">
        <v>43586</v>
      </c>
    </row>
    <row r="32" spans="1:10" x14ac:dyDescent="0.25">
      <c r="A32" s="2"/>
      <c r="B32" s="4"/>
      <c r="E32" s="4">
        <v>43617</v>
      </c>
      <c r="H32" s="4">
        <v>43617</v>
      </c>
      <c r="J32" s="4">
        <v>43617</v>
      </c>
    </row>
    <row r="33" spans="1:10" x14ac:dyDescent="0.25">
      <c r="A33" s="2"/>
      <c r="B33" s="4"/>
      <c r="E33" s="4">
        <v>43647</v>
      </c>
      <c r="H33" s="4">
        <v>43647</v>
      </c>
      <c r="J33" s="4">
        <v>43647</v>
      </c>
    </row>
    <row r="34" spans="1:10" x14ac:dyDescent="0.25">
      <c r="A34" s="2"/>
      <c r="B34" s="4"/>
      <c r="E34" s="4">
        <v>43678</v>
      </c>
      <c r="H34" s="4">
        <v>43678</v>
      </c>
      <c r="J34" s="4">
        <v>43678</v>
      </c>
    </row>
    <row r="35" spans="1:10" x14ac:dyDescent="0.25">
      <c r="A35" s="2"/>
      <c r="B35" s="4"/>
      <c r="E35" s="4">
        <v>43709</v>
      </c>
      <c r="H35" s="4">
        <v>43709</v>
      </c>
      <c r="J35" s="4">
        <v>43709</v>
      </c>
    </row>
    <row r="36" spans="1:10" x14ac:dyDescent="0.25">
      <c r="A36" s="2"/>
      <c r="B36" s="4"/>
      <c r="E36" s="4">
        <v>43739</v>
      </c>
      <c r="H36" s="4">
        <v>43739</v>
      </c>
      <c r="J36" s="4">
        <v>43739</v>
      </c>
    </row>
    <row r="37" spans="1:10" x14ac:dyDescent="0.25">
      <c r="A37" s="2"/>
      <c r="B37" s="4"/>
      <c r="E37" s="4">
        <v>43770</v>
      </c>
      <c r="H37" s="4">
        <v>43770</v>
      </c>
      <c r="J37" s="4">
        <v>43770</v>
      </c>
    </row>
    <row r="38" spans="1:10" x14ac:dyDescent="0.25">
      <c r="A38" s="2"/>
      <c r="B38" s="4"/>
      <c r="E38" s="4">
        <v>43800</v>
      </c>
      <c r="H38" s="4">
        <v>43800</v>
      </c>
      <c r="J38" s="4">
        <v>43800</v>
      </c>
    </row>
    <row r="39" spans="1:10" x14ac:dyDescent="0.25">
      <c r="A39" s="2"/>
      <c r="B39" s="4"/>
      <c r="E39" s="4">
        <v>43831</v>
      </c>
      <c r="H39" s="4">
        <v>43831</v>
      </c>
      <c r="J39" s="4">
        <v>43831</v>
      </c>
    </row>
    <row r="40" spans="1:10" x14ac:dyDescent="0.25">
      <c r="A40" s="2"/>
      <c r="B40" s="4"/>
      <c r="E40" s="4">
        <v>43862</v>
      </c>
      <c r="H40" s="4">
        <v>43862</v>
      </c>
      <c r="J40" s="4">
        <v>43862</v>
      </c>
    </row>
    <row r="41" spans="1:10" x14ac:dyDescent="0.25">
      <c r="A41" s="2"/>
      <c r="B41" s="4"/>
      <c r="E41" s="4">
        <v>43891</v>
      </c>
      <c r="H41" s="4">
        <v>43891</v>
      </c>
      <c r="J41" s="4">
        <v>43891</v>
      </c>
    </row>
    <row r="42" spans="1:10" x14ac:dyDescent="0.25">
      <c r="A42" s="2"/>
      <c r="B42" s="4"/>
      <c r="E42" s="4">
        <v>43922</v>
      </c>
      <c r="H42" s="4">
        <v>43922</v>
      </c>
      <c r="J42" s="4">
        <v>43922</v>
      </c>
    </row>
    <row r="43" spans="1:10" x14ac:dyDescent="0.25">
      <c r="A43" s="2"/>
      <c r="B43" s="4"/>
      <c r="E43" s="4">
        <v>43952</v>
      </c>
      <c r="H43" s="4">
        <v>43952</v>
      </c>
      <c r="J43" s="4">
        <v>43952</v>
      </c>
    </row>
    <row r="44" spans="1:10" x14ac:dyDescent="0.25">
      <c r="A44" s="2"/>
      <c r="B44" s="4"/>
      <c r="E44" s="4">
        <v>43983</v>
      </c>
      <c r="H44" s="4">
        <v>43983</v>
      </c>
      <c r="J44" s="4">
        <v>43983</v>
      </c>
    </row>
    <row r="45" spans="1:10" x14ac:dyDescent="0.25">
      <c r="A45" s="2"/>
      <c r="B45" s="4"/>
      <c r="E45" s="4">
        <v>44013</v>
      </c>
      <c r="H45" s="4">
        <v>44013</v>
      </c>
      <c r="J45" s="4">
        <v>44013</v>
      </c>
    </row>
    <row r="46" spans="1:10" x14ac:dyDescent="0.25">
      <c r="A46" s="2"/>
      <c r="B46" s="4"/>
      <c r="E46" s="4">
        <v>44044</v>
      </c>
      <c r="H46" s="4">
        <v>44044</v>
      </c>
      <c r="J46" s="4">
        <v>44044</v>
      </c>
    </row>
    <row r="47" spans="1:10" x14ac:dyDescent="0.25">
      <c r="A47" s="2"/>
      <c r="B47" s="4"/>
      <c r="E47" s="4">
        <v>44075</v>
      </c>
      <c r="H47" s="4">
        <v>44075</v>
      </c>
      <c r="J47" s="4">
        <v>44075</v>
      </c>
    </row>
    <row r="48" spans="1:10" x14ac:dyDescent="0.25">
      <c r="A48" s="2"/>
      <c r="B48" s="4"/>
      <c r="E48" s="4">
        <v>44105</v>
      </c>
      <c r="H48" s="4">
        <v>44105</v>
      </c>
      <c r="J48" s="4">
        <v>44105</v>
      </c>
    </row>
    <row r="49" spans="1:10" x14ac:dyDescent="0.25">
      <c r="A49" s="2"/>
      <c r="B49" s="4"/>
      <c r="E49" s="4">
        <v>44136</v>
      </c>
      <c r="H49" s="4">
        <v>44136</v>
      </c>
      <c r="J49" s="4">
        <v>44136</v>
      </c>
    </row>
    <row r="50" spans="1:10" x14ac:dyDescent="0.25">
      <c r="A50" s="2"/>
      <c r="B50" s="4"/>
      <c r="E50" s="4">
        <v>44166</v>
      </c>
      <c r="H50" s="4">
        <v>44166</v>
      </c>
      <c r="J50" s="4">
        <v>44166</v>
      </c>
    </row>
    <row r="51" spans="1:10" x14ac:dyDescent="0.25">
      <c r="A51" s="2"/>
      <c r="B51" s="4"/>
      <c r="E51" s="4">
        <v>44197</v>
      </c>
      <c r="H51" s="4">
        <v>44197</v>
      </c>
      <c r="J51" s="4">
        <v>44197</v>
      </c>
    </row>
    <row r="52" spans="1:10" x14ac:dyDescent="0.25">
      <c r="A52" s="2"/>
      <c r="B52" s="4"/>
      <c r="E52" s="4">
        <v>44228</v>
      </c>
      <c r="H52" s="4">
        <v>44228</v>
      </c>
      <c r="J52" s="4">
        <v>44228</v>
      </c>
    </row>
    <row r="53" spans="1:10" x14ac:dyDescent="0.25">
      <c r="A53" s="2"/>
      <c r="B53" s="4"/>
      <c r="E53" s="4">
        <v>44256</v>
      </c>
      <c r="H53" s="4">
        <v>44256</v>
      </c>
      <c r="J53" s="4">
        <v>44256</v>
      </c>
    </row>
    <row r="54" spans="1:10" x14ac:dyDescent="0.25">
      <c r="A54" s="2"/>
      <c r="B54" s="4"/>
      <c r="E54" s="4">
        <v>44287</v>
      </c>
      <c r="H54" s="4">
        <v>44287</v>
      </c>
      <c r="J54" s="4">
        <v>44287</v>
      </c>
    </row>
    <row r="55" spans="1:10" x14ac:dyDescent="0.25">
      <c r="A55" s="2"/>
      <c r="B55" s="4"/>
      <c r="E55" s="4">
        <v>44317</v>
      </c>
      <c r="H55" s="4">
        <v>44317</v>
      </c>
      <c r="J55" s="4">
        <v>44317</v>
      </c>
    </row>
    <row r="56" spans="1:10" x14ac:dyDescent="0.25">
      <c r="A56" s="2"/>
      <c r="B56" s="4"/>
      <c r="E56" s="4">
        <v>44348</v>
      </c>
      <c r="H56" s="4">
        <v>44348</v>
      </c>
      <c r="J56" s="4">
        <v>44348</v>
      </c>
    </row>
    <row r="57" spans="1:10" x14ac:dyDescent="0.25">
      <c r="A57" s="2"/>
      <c r="B57" s="4"/>
      <c r="E57" s="4">
        <v>44378</v>
      </c>
      <c r="H57" s="4">
        <v>44378</v>
      </c>
      <c r="J57" s="4">
        <v>44378</v>
      </c>
    </row>
    <row r="58" spans="1:10" x14ac:dyDescent="0.25">
      <c r="A58" s="2"/>
      <c r="B58" s="4"/>
      <c r="E58" s="4">
        <v>44409</v>
      </c>
      <c r="H58" s="4">
        <v>44409</v>
      </c>
      <c r="J58" s="4">
        <v>44409</v>
      </c>
    </row>
    <row r="59" spans="1:10" x14ac:dyDescent="0.25">
      <c r="A59" s="2"/>
      <c r="B59" s="4"/>
      <c r="E59" s="4">
        <v>44440</v>
      </c>
      <c r="H59" s="4">
        <v>44440</v>
      </c>
      <c r="J59" s="4">
        <v>44440</v>
      </c>
    </row>
    <row r="60" spans="1:10" x14ac:dyDescent="0.25">
      <c r="A60" s="2"/>
      <c r="B60" s="4"/>
      <c r="E60" s="4">
        <v>44470</v>
      </c>
      <c r="H60" s="4">
        <v>44470</v>
      </c>
      <c r="J60" s="4">
        <v>44470</v>
      </c>
    </row>
    <row r="61" spans="1:10" x14ac:dyDescent="0.25">
      <c r="A61" s="2"/>
      <c r="B61" s="4"/>
      <c r="E61" s="4">
        <v>44501</v>
      </c>
      <c r="H61" s="4">
        <v>44501</v>
      </c>
      <c r="J61" s="4">
        <v>44501</v>
      </c>
    </row>
    <row r="62" spans="1:10" x14ac:dyDescent="0.25">
      <c r="A62" s="2"/>
      <c r="B62" s="4"/>
      <c r="E62" s="4">
        <v>44531</v>
      </c>
      <c r="H62" s="4">
        <v>44531</v>
      </c>
      <c r="J62" s="4">
        <v>44531</v>
      </c>
    </row>
    <row r="63" spans="1:10" x14ac:dyDescent="0.25">
      <c r="A63" s="2"/>
      <c r="B63" s="4"/>
      <c r="E63" s="4">
        <v>44562</v>
      </c>
      <c r="H63" s="4">
        <v>44562</v>
      </c>
      <c r="J63" s="4">
        <v>44562</v>
      </c>
    </row>
    <row r="64" spans="1:10" x14ac:dyDescent="0.25">
      <c r="A64" s="2"/>
      <c r="B64" s="4"/>
      <c r="E64" s="4">
        <v>44593</v>
      </c>
      <c r="H64" s="4">
        <v>44593</v>
      </c>
      <c r="J64" s="4">
        <v>44593</v>
      </c>
    </row>
    <row r="65" spans="1:10" x14ac:dyDescent="0.25">
      <c r="A65" s="2"/>
      <c r="B65" s="4"/>
      <c r="E65" s="4">
        <v>44621</v>
      </c>
      <c r="H65" s="4">
        <v>44621</v>
      </c>
      <c r="J65" s="4">
        <v>44621</v>
      </c>
    </row>
    <row r="66" spans="1:10" x14ac:dyDescent="0.25">
      <c r="A66" s="2"/>
      <c r="B66" s="4"/>
      <c r="E66" s="4">
        <v>44652</v>
      </c>
      <c r="H66" s="4">
        <v>44652</v>
      </c>
      <c r="J66" s="4">
        <v>44652</v>
      </c>
    </row>
    <row r="67" spans="1:10" x14ac:dyDescent="0.25">
      <c r="A67" s="2"/>
      <c r="B67" s="4"/>
      <c r="E67" s="4">
        <v>44682</v>
      </c>
      <c r="H67" s="4">
        <v>44682</v>
      </c>
      <c r="J67" s="4">
        <v>44682</v>
      </c>
    </row>
    <row r="68" spans="1:10" x14ac:dyDescent="0.25">
      <c r="A68" s="2"/>
      <c r="B68" s="4"/>
      <c r="E68" s="4">
        <v>44713</v>
      </c>
      <c r="H68" s="4">
        <v>44713</v>
      </c>
      <c r="J68" s="4">
        <v>44713</v>
      </c>
    </row>
    <row r="69" spans="1:10" x14ac:dyDescent="0.25">
      <c r="A69" s="2"/>
      <c r="B69" s="4"/>
      <c r="E69" s="4">
        <v>44743</v>
      </c>
      <c r="H69" s="4">
        <v>44743</v>
      </c>
      <c r="J69" s="4">
        <v>44743</v>
      </c>
    </row>
    <row r="70" spans="1:10" x14ac:dyDescent="0.25">
      <c r="A70" s="2"/>
      <c r="B70" s="4"/>
      <c r="E70" s="4">
        <v>44774</v>
      </c>
      <c r="H70" s="4">
        <v>44774</v>
      </c>
      <c r="J70" s="4">
        <v>44774</v>
      </c>
    </row>
    <row r="71" spans="1:10" x14ac:dyDescent="0.25">
      <c r="A71" s="2"/>
      <c r="B71" s="4"/>
      <c r="E71" s="4">
        <v>44805</v>
      </c>
      <c r="H71" s="4">
        <v>44805</v>
      </c>
      <c r="J71" s="4">
        <v>44805</v>
      </c>
    </row>
    <row r="72" spans="1:10" x14ac:dyDescent="0.25">
      <c r="A72" s="2"/>
      <c r="B72" s="4"/>
      <c r="E72" s="4">
        <v>44835</v>
      </c>
      <c r="H72" s="4">
        <v>44835</v>
      </c>
      <c r="J72" s="4">
        <v>44835</v>
      </c>
    </row>
    <row r="73" spans="1:10" x14ac:dyDescent="0.25">
      <c r="A73" s="2"/>
      <c r="B73" s="4"/>
      <c r="E73" s="4">
        <v>44866</v>
      </c>
      <c r="H73" s="4">
        <v>44866</v>
      </c>
      <c r="J73" s="4">
        <v>44866</v>
      </c>
    </row>
    <row r="74" spans="1:10" x14ac:dyDescent="0.25">
      <c r="A74" s="2"/>
      <c r="B74" s="4"/>
      <c r="E74" s="4">
        <v>44896</v>
      </c>
      <c r="H74" s="4">
        <v>44896</v>
      </c>
      <c r="J74" s="4">
        <v>44896</v>
      </c>
    </row>
    <row r="75" spans="1:10" x14ac:dyDescent="0.25">
      <c r="A75" s="2"/>
      <c r="B75" s="4"/>
      <c r="E75" s="4">
        <v>44927</v>
      </c>
      <c r="H75" s="4">
        <v>44927</v>
      </c>
      <c r="J75" s="4">
        <v>44927</v>
      </c>
    </row>
    <row r="76" spans="1:10" x14ac:dyDescent="0.25">
      <c r="A76" s="2"/>
      <c r="B76" s="4"/>
      <c r="E76" s="4">
        <v>44958</v>
      </c>
      <c r="H76" s="4">
        <v>44958</v>
      </c>
      <c r="J76" s="4">
        <v>44958</v>
      </c>
    </row>
    <row r="77" spans="1:10" x14ac:dyDescent="0.25">
      <c r="A77" s="2"/>
      <c r="B77" s="4"/>
      <c r="E77" s="4">
        <v>44986</v>
      </c>
      <c r="H77" s="4">
        <v>44986</v>
      </c>
      <c r="J77" s="4">
        <v>44986</v>
      </c>
    </row>
    <row r="78" spans="1:10" x14ac:dyDescent="0.25">
      <c r="A78" s="2"/>
      <c r="B78" s="4"/>
      <c r="E78" s="4">
        <v>45017</v>
      </c>
      <c r="H78" s="4">
        <v>45017</v>
      </c>
      <c r="J78" s="4">
        <v>45017</v>
      </c>
    </row>
    <row r="79" spans="1:10" x14ac:dyDescent="0.25">
      <c r="A79" s="2"/>
      <c r="B79" s="4"/>
      <c r="E79" s="4">
        <v>45047</v>
      </c>
      <c r="H79" s="4">
        <v>45047</v>
      </c>
      <c r="J79" s="4">
        <v>45047</v>
      </c>
    </row>
    <row r="80" spans="1:10" x14ac:dyDescent="0.25">
      <c r="A80" s="2"/>
      <c r="B80" s="4"/>
      <c r="E80" s="4">
        <v>45078</v>
      </c>
      <c r="H80" s="4">
        <v>45078</v>
      </c>
      <c r="J80" s="4">
        <v>45078</v>
      </c>
    </row>
    <row r="81" spans="1:10" x14ac:dyDescent="0.25">
      <c r="A81" s="2"/>
      <c r="B81" s="4"/>
      <c r="E81" s="4">
        <v>45108</v>
      </c>
      <c r="H81" s="4">
        <v>45108</v>
      </c>
      <c r="J81" s="4">
        <v>45108</v>
      </c>
    </row>
    <row r="82" spans="1:10" x14ac:dyDescent="0.25">
      <c r="A82" s="2"/>
      <c r="B82" s="4"/>
      <c r="E82" s="4">
        <v>45139</v>
      </c>
      <c r="H82" s="4">
        <v>45139</v>
      </c>
      <c r="J82" s="4">
        <v>45139</v>
      </c>
    </row>
    <row r="83" spans="1:10" x14ac:dyDescent="0.25">
      <c r="A83" s="2"/>
      <c r="B83" s="4"/>
    </row>
    <row r="84" spans="1:10" x14ac:dyDescent="0.25">
      <c r="A84" s="2"/>
      <c r="B84" s="4"/>
    </row>
    <row r="85" spans="1:10" x14ac:dyDescent="0.25">
      <c r="A85" s="2"/>
      <c r="B85" s="4"/>
    </row>
    <row r="86" spans="1:10" x14ac:dyDescent="0.25">
      <c r="A86" s="2"/>
      <c r="B86" s="4"/>
    </row>
    <row r="87" spans="1:10" x14ac:dyDescent="0.25">
      <c r="A87" s="2"/>
      <c r="B87" s="4"/>
    </row>
    <row r="88" spans="1:10" x14ac:dyDescent="0.25">
      <c r="A88" s="2"/>
      <c r="B88" s="4"/>
    </row>
    <row r="89" spans="1:10" x14ac:dyDescent="0.25">
      <c r="A89" s="2"/>
      <c r="B89" s="4"/>
    </row>
    <row r="90" spans="1:10" x14ac:dyDescent="0.25">
      <c r="A90" s="2"/>
      <c r="B90" s="4"/>
    </row>
    <row r="91" spans="1:10" x14ac:dyDescent="0.25">
      <c r="A91" s="2"/>
      <c r="B91" s="4"/>
    </row>
    <row r="92" spans="1:10" x14ac:dyDescent="0.25">
      <c r="A92" s="2"/>
      <c r="B92" s="4"/>
    </row>
    <row r="93" spans="1:10" x14ac:dyDescent="0.25">
      <c r="A93" s="2"/>
      <c r="B93" s="4"/>
    </row>
    <row r="94" spans="1:10" x14ac:dyDescent="0.25">
      <c r="A94" s="2"/>
      <c r="B94" s="4"/>
    </row>
    <row r="95" spans="1:10" x14ac:dyDescent="0.25">
      <c r="A95" s="2"/>
      <c r="B95" s="4"/>
    </row>
    <row r="96" spans="1:10" x14ac:dyDescent="0.25">
      <c r="A96" s="2"/>
      <c r="B96" s="4"/>
    </row>
    <row r="97" spans="1:2" x14ac:dyDescent="0.25">
      <c r="A97" s="2"/>
      <c r="B97" s="4"/>
    </row>
    <row r="98" spans="1:2" x14ac:dyDescent="0.25">
      <c r="A98" s="2"/>
      <c r="B98" s="4"/>
    </row>
    <row r="99" spans="1:2" x14ac:dyDescent="0.25">
      <c r="A99" s="2"/>
      <c r="B99" s="4"/>
    </row>
    <row r="100" spans="1:2" x14ac:dyDescent="0.25">
      <c r="A100" s="2"/>
      <c r="B100" s="4"/>
    </row>
    <row r="101" spans="1:2" x14ac:dyDescent="0.25">
      <c r="A101" s="2"/>
      <c r="B101" s="4"/>
    </row>
    <row r="102" spans="1:2" x14ac:dyDescent="0.25">
      <c r="A102" s="2"/>
      <c r="B102" s="4"/>
    </row>
    <row r="103" spans="1:2" x14ac:dyDescent="0.25">
      <c r="A103" s="2"/>
      <c r="B103" s="4"/>
    </row>
    <row r="104" spans="1:2" x14ac:dyDescent="0.25">
      <c r="A104" s="2"/>
      <c r="B104" s="4"/>
    </row>
    <row r="105" spans="1:2" x14ac:dyDescent="0.25">
      <c r="A105" s="2"/>
      <c r="B105" s="4"/>
    </row>
    <row r="106" spans="1:2" x14ac:dyDescent="0.25">
      <c r="A106" s="2"/>
      <c r="B106" s="4"/>
    </row>
    <row r="107" spans="1:2" x14ac:dyDescent="0.25">
      <c r="A107" s="2"/>
      <c r="B107" s="4"/>
    </row>
    <row r="108" spans="1:2" x14ac:dyDescent="0.25">
      <c r="A108" s="2"/>
      <c r="B108" s="4"/>
    </row>
    <row r="109" spans="1:2" x14ac:dyDescent="0.25">
      <c r="A109" s="2"/>
      <c r="B109" s="4"/>
    </row>
    <row r="110" spans="1:2" x14ac:dyDescent="0.25">
      <c r="A110" s="2"/>
      <c r="B110" s="4"/>
    </row>
    <row r="111" spans="1:2" x14ac:dyDescent="0.25">
      <c r="A111" s="2"/>
      <c r="B111" s="4"/>
    </row>
    <row r="112" spans="1:2" x14ac:dyDescent="0.25">
      <c r="A112" s="2"/>
      <c r="B112" s="4"/>
    </row>
    <row r="113" spans="1:2" x14ac:dyDescent="0.25">
      <c r="A113" s="2"/>
      <c r="B113" s="4"/>
    </row>
    <row r="114" spans="1:2" x14ac:dyDescent="0.25">
      <c r="A114" s="2"/>
      <c r="B114" s="4"/>
    </row>
    <row r="115" spans="1:2" x14ac:dyDescent="0.25">
      <c r="A115" s="2"/>
      <c r="B115" s="4"/>
    </row>
    <row r="116" spans="1:2" x14ac:dyDescent="0.25">
      <c r="A116" s="2"/>
      <c r="B116" s="4"/>
    </row>
    <row r="117" spans="1:2" x14ac:dyDescent="0.25">
      <c r="A117" s="2"/>
      <c r="B117" s="4"/>
    </row>
    <row r="118" spans="1:2" x14ac:dyDescent="0.25">
      <c r="A118" s="2"/>
      <c r="B118" s="4"/>
    </row>
    <row r="119" spans="1:2" x14ac:dyDescent="0.25">
      <c r="A119" s="2"/>
      <c r="B119" s="4"/>
    </row>
    <row r="120" spans="1:2" x14ac:dyDescent="0.25">
      <c r="A120" s="2"/>
      <c r="B120" s="4"/>
    </row>
    <row r="121" spans="1:2" x14ac:dyDescent="0.25">
      <c r="A121" s="2"/>
      <c r="B121" s="4"/>
    </row>
    <row r="122" spans="1:2" x14ac:dyDescent="0.25">
      <c r="A122" s="2"/>
      <c r="B122" s="4"/>
    </row>
    <row r="123" spans="1:2" x14ac:dyDescent="0.25">
      <c r="A123" s="2"/>
      <c r="B123" s="4"/>
    </row>
    <row r="124" spans="1:2" x14ac:dyDescent="0.25">
      <c r="A124" s="2"/>
      <c r="B124" s="4"/>
    </row>
    <row r="125" spans="1:2" x14ac:dyDescent="0.25">
      <c r="A125" s="2"/>
      <c r="B125" s="4"/>
    </row>
    <row r="126" spans="1:2" x14ac:dyDescent="0.25">
      <c r="A126" s="2"/>
      <c r="B126" s="4"/>
    </row>
    <row r="127" spans="1:2" x14ac:dyDescent="0.25">
      <c r="A127" s="2"/>
      <c r="B127" s="4"/>
    </row>
    <row r="128" spans="1:2" x14ac:dyDescent="0.25">
      <c r="A128" s="2"/>
      <c r="B128" s="4"/>
    </row>
    <row r="129" spans="1:2" x14ac:dyDescent="0.25">
      <c r="A129" s="2"/>
      <c r="B129" s="4"/>
    </row>
    <row r="130" spans="1:2" x14ac:dyDescent="0.25">
      <c r="A130" s="2"/>
      <c r="B130" s="4"/>
    </row>
    <row r="131" spans="1:2" x14ac:dyDescent="0.25">
      <c r="A131" s="2"/>
      <c r="B131" s="4"/>
    </row>
    <row r="132" spans="1:2" x14ac:dyDescent="0.25">
      <c r="A132" s="2"/>
      <c r="B132" s="4"/>
    </row>
    <row r="133" spans="1:2" x14ac:dyDescent="0.25">
      <c r="A133" s="2"/>
      <c r="B133" s="4"/>
    </row>
    <row r="134" spans="1:2" x14ac:dyDescent="0.25">
      <c r="A134" s="2"/>
      <c r="B134" s="4"/>
    </row>
    <row r="135" spans="1:2" x14ac:dyDescent="0.25">
      <c r="A135" s="2"/>
      <c r="B135" s="4"/>
    </row>
    <row r="136" spans="1:2" x14ac:dyDescent="0.25">
      <c r="A136" s="2"/>
      <c r="B136" s="4"/>
    </row>
    <row r="137" spans="1:2" x14ac:dyDescent="0.25">
      <c r="A137" s="2"/>
      <c r="B137" s="4"/>
    </row>
    <row r="138" spans="1:2" x14ac:dyDescent="0.25">
      <c r="A138" s="2"/>
      <c r="B138" s="4"/>
    </row>
    <row r="139" spans="1:2" x14ac:dyDescent="0.25">
      <c r="A139" s="2"/>
      <c r="B139" s="4"/>
    </row>
    <row r="140" spans="1:2" x14ac:dyDescent="0.25">
      <c r="A140" s="2"/>
      <c r="B140" s="4"/>
    </row>
    <row r="141" spans="1:2" x14ac:dyDescent="0.25">
      <c r="A141" s="2"/>
      <c r="B141" s="4"/>
    </row>
    <row r="142" spans="1:2" x14ac:dyDescent="0.25">
      <c r="A142" s="2"/>
      <c r="B142" s="4"/>
    </row>
    <row r="143" spans="1:2" x14ac:dyDescent="0.25">
      <c r="A143" s="2"/>
      <c r="B143" s="4"/>
    </row>
    <row r="144" spans="1:2" x14ac:dyDescent="0.25">
      <c r="A144" s="2"/>
      <c r="B144" s="4"/>
    </row>
    <row r="145" spans="1:2" x14ac:dyDescent="0.25">
      <c r="A145" s="2"/>
      <c r="B145" s="4"/>
    </row>
    <row r="146" spans="1:2" x14ac:dyDescent="0.25">
      <c r="A146" s="2"/>
      <c r="B146" s="4"/>
    </row>
    <row r="147" spans="1:2" x14ac:dyDescent="0.25">
      <c r="A147" s="2"/>
      <c r="B147" s="4"/>
    </row>
    <row r="148" spans="1:2" x14ac:dyDescent="0.25">
      <c r="A148" s="2"/>
      <c r="B148" s="4"/>
    </row>
    <row r="149" spans="1:2" x14ac:dyDescent="0.25">
      <c r="A149" s="2"/>
      <c r="B149" s="4"/>
    </row>
    <row r="150" spans="1:2" x14ac:dyDescent="0.25">
      <c r="A150" s="2"/>
      <c r="B150" s="4"/>
    </row>
    <row r="151" spans="1:2" x14ac:dyDescent="0.25">
      <c r="A151" s="2"/>
      <c r="B151" s="4"/>
    </row>
    <row r="152" spans="1:2" x14ac:dyDescent="0.25">
      <c r="A152" s="2"/>
      <c r="B152" s="4"/>
    </row>
    <row r="153" spans="1:2" x14ac:dyDescent="0.25">
      <c r="A153" s="2"/>
      <c r="B153" s="4"/>
    </row>
    <row r="154" spans="1:2" x14ac:dyDescent="0.25">
      <c r="A154" s="2"/>
      <c r="B154" s="4"/>
    </row>
    <row r="155" spans="1:2" x14ac:dyDescent="0.25">
      <c r="A155" s="2"/>
      <c r="B155" s="4"/>
    </row>
    <row r="156" spans="1:2" x14ac:dyDescent="0.25">
      <c r="A156" s="2"/>
      <c r="B156" s="4"/>
    </row>
    <row r="157" spans="1:2" x14ac:dyDescent="0.25">
      <c r="A157" s="2"/>
      <c r="B157" s="4"/>
    </row>
    <row r="158" spans="1:2" x14ac:dyDescent="0.25">
      <c r="A158" s="2"/>
      <c r="B158" s="4"/>
    </row>
    <row r="159" spans="1:2" x14ac:dyDescent="0.25">
      <c r="A159" s="2"/>
      <c r="B159" s="4"/>
    </row>
    <row r="160" spans="1:2" x14ac:dyDescent="0.25">
      <c r="A160" s="2"/>
      <c r="B160" s="4"/>
    </row>
    <row r="161" spans="1:2" x14ac:dyDescent="0.25">
      <c r="A161" s="2"/>
      <c r="B161" s="4"/>
    </row>
    <row r="162" spans="1:2" x14ac:dyDescent="0.25">
      <c r="A162" s="2"/>
      <c r="B162" s="4"/>
    </row>
    <row r="163" spans="1:2" x14ac:dyDescent="0.25">
      <c r="A163" s="2"/>
      <c r="B163" s="4"/>
    </row>
    <row r="164" spans="1:2" x14ac:dyDescent="0.25">
      <c r="A164" s="2"/>
      <c r="B164" s="4"/>
    </row>
    <row r="165" spans="1:2" x14ac:dyDescent="0.25">
      <c r="A165" s="2"/>
      <c r="B165" s="4"/>
    </row>
    <row r="166" spans="1:2" x14ac:dyDescent="0.25">
      <c r="A166" s="2"/>
      <c r="B166" s="4"/>
    </row>
    <row r="167" spans="1:2" x14ac:dyDescent="0.25">
      <c r="A167" s="2"/>
      <c r="B167" s="4"/>
    </row>
    <row r="168" spans="1:2" x14ac:dyDescent="0.25">
      <c r="A168" s="2"/>
      <c r="B168" s="4"/>
    </row>
    <row r="169" spans="1:2" x14ac:dyDescent="0.25">
      <c r="A169" s="2"/>
      <c r="B169" s="4"/>
    </row>
    <row r="170" spans="1:2" x14ac:dyDescent="0.25">
      <c r="A170" s="2"/>
      <c r="B170" s="4"/>
    </row>
    <row r="171" spans="1:2" x14ac:dyDescent="0.25">
      <c r="A171" s="2"/>
      <c r="B171" s="4"/>
    </row>
    <row r="172" spans="1:2" x14ac:dyDescent="0.25">
      <c r="A172" s="2"/>
      <c r="B172" s="4"/>
    </row>
    <row r="173" spans="1:2" x14ac:dyDescent="0.25">
      <c r="A173" s="2"/>
      <c r="B173" s="4"/>
    </row>
    <row r="174" spans="1:2" x14ac:dyDescent="0.25">
      <c r="A174" s="2"/>
      <c r="B174" s="4"/>
    </row>
    <row r="175" spans="1:2" x14ac:dyDescent="0.25">
      <c r="A175" s="2"/>
      <c r="B175" s="4"/>
    </row>
    <row r="176" spans="1:2" x14ac:dyDescent="0.25">
      <c r="A176" s="2"/>
      <c r="B176" s="4"/>
    </row>
    <row r="177" spans="1:2" x14ac:dyDescent="0.25">
      <c r="A177" s="2"/>
      <c r="B177" s="4"/>
    </row>
    <row r="178" spans="1:2" x14ac:dyDescent="0.25">
      <c r="A178" s="2"/>
      <c r="B178" s="4"/>
    </row>
    <row r="179" spans="1:2" x14ac:dyDescent="0.25">
      <c r="A179" s="2"/>
      <c r="B179" s="4"/>
    </row>
    <row r="180" spans="1:2" x14ac:dyDescent="0.25">
      <c r="A180" s="2"/>
      <c r="B180" s="4"/>
    </row>
    <row r="181" spans="1:2" x14ac:dyDescent="0.25">
      <c r="A181" s="2"/>
      <c r="B181" s="4"/>
    </row>
    <row r="182" spans="1:2" x14ac:dyDescent="0.25">
      <c r="A182" s="2"/>
      <c r="B182" s="4"/>
    </row>
    <row r="183" spans="1:2" x14ac:dyDescent="0.25">
      <c r="A183" s="2"/>
      <c r="B183" s="4"/>
    </row>
    <row r="184" spans="1:2" x14ac:dyDescent="0.25">
      <c r="A184" s="2"/>
      <c r="B184" s="4"/>
    </row>
    <row r="185" spans="1:2" x14ac:dyDescent="0.25">
      <c r="A185" s="2"/>
      <c r="B185" s="4"/>
    </row>
    <row r="186" spans="1:2" x14ac:dyDescent="0.25">
      <c r="A186" s="2"/>
      <c r="B186" s="4"/>
    </row>
    <row r="187" spans="1:2" x14ac:dyDescent="0.25">
      <c r="A187" s="2"/>
      <c r="B187" s="4"/>
    </row>
    <row r="188" spans="1:2" x14ac:dyDescent="0.25">
      <c r="A188" s="2"/>
      <c r="B188" s="4"/>
    </row>
    <row r="189" spans="1:2" x14ac:dyDescent="0.25">
      <c r="A189" s="2"/>
      <c r="B189" s="4"/>
    </row>
    <row r="190" spans="1:2" x14ac:dyDescent="0.25">
      <c r="A190" s="2"/>
      <c r="B190" s="4"/>
    </row>
    <row r="191" spans="1:2" x14ac:dyDescent="0.25">
      <c r="A191" s="2"/>
      <c r="B191" s="4"/>
    </row>
    <row r="192" spans="1:2" x14ac:dyDescent="0.25">
      <c r="A192" s="2"/>
      <c r="B192" s="4"/>
    </row>
    <row r="193" spans="1:2" x14ac:dyDescent="0.25">
      <c r="A193" s="2"/>
      <c r="B193" s="4"/>
    </row>
    <row r="194" spans="1:2" x14ac:dyDescent="0.25">
      <c r="A194" s="2"/>
      <c r="B194" s="4"/>
    </row>
    <row r="195" spans="1:2" x14ac:dyDescent="0.25">
      <c r="A195" s="2"/>
      <c r="B195" s="4"/>
    </row>
    <row r="196" spans="1:2" x14ac:dyDescent="0.25">
      <c r="A196" s="2"/>
      <c r="B196" s="4"/>
    </row>
    <row r="197" spans="1:2" x14ac:dyDescent="0.25">
      <c r="A197" s="2"/>
      <c r="B197" s="4"/>
    </row>
    <row r="198" spans="1:2" x14ac:dyDescent="0.25">
      <c r="A198" s="2"/>
      <c r="B198" s="4"/>
    </row>
    <row r="199" spans="1:2" x14ac:dyDescent="0.25">
      <c r="A199" s="2"/>
      <c r="B199" s="4"/>
    </row>
    <row r="200" spans="1:2" x14ac:dyDescent="0.25">
      <c r="A200" s="2"/>
      <c r="B200" s="4"/>
    </row>
    <row r="201" spans="1:2" x14ac:dyDescent="0.25">
      <c r="A201" s="2"/>
      <c r="B201" s="4"/>
    </row>
    <row r="202" spans="1:2" x14ac:dyDescent="0.25">
      <c r="A202" s="2"/>
      <c r="B202" s="4"/>
    </row>
    <row r="203" spans="1:2" x14ac:dyDescent="0.25">
      <c r="A203" s="2"/>
      <c r="B203" s="4"/>
    </row>
    <row r="204" spans="1:2" x14ac:dyDescent="0.25">
      <c r="A204" s="2"/>
      <c r="B204" s="4"/>
    </row>
    <row r="205" spans="1:2" x14ac:dyDescent="0.25">
      <c r="A205" s="2"/>
      <c r="B205" s="4"/>
    </row>
    <row r="206" spans="1:2" x14ac:dyDescent="0.25">
      <c r="A206" s="2"/>
      <c r="B206" s="4"/>
    </row>
    <row r="207" spans="1:2" x14ac:dyDescent="0.25">
      <c r="A207" s="2"/>
      <c r="B207" s="4"/>
    </row>
    <row r="208" spans="1:2" x14ac:dyDescent="0.25">
      <c r="A208" s="2"/>
      <c r="B208" s="4"/>
    </row>
    <row r="209" spans="1:2" x14ac:dyDescent="0.25">
      <c r="A209" s="2"/>
      <c r="B209" s="4"/>
    </row>
    <row r="210" spans="1:2" x14ac:dyDescent="0.25">
      <c r="A210" s="2"/>
      <c r="B210" s="4"/>
    </row>
    <row r="211" spans="1:2" x14ac:dyDescent="0.25">
      <c r="A211" s="2"/>
      <c r="B211" s="4"/>
    </row>
    <row r="212" spans="1:2" x14ac:dyDescent="0.25">
      <c r="A212" s="2"/>
      <c r="B212" s="4"/>
    </row>
    <row r="213" spans="1:2" x14ac:dyDescent="0.25">
      <c r="A213" s="2"/>
      <c r="B213" s="4"/>
    </row>
    <row r="214" spans="1:2" x14ac:dyDescent="0.25">
      <c r="A214" s="2"/>
      <c r="B214" s="4"/>
    </row>
    <row r="215" spans="1:2" x14ac:dyDescent="0.25">
      <c r="A215" s="2"/>
      <c r="B215" s="4"/>
    </row>
    <row r="216" spans="1:2" x14ac:dyDescent="0.25">
      <c r="A216" s="2"/>
      <c r="B216" s="4"/>
    </row>
    <row r="217" spans="1:2" x14ac:dyDescent="0.25">
      <c r="A217" s="2"/>
      <c r="B217" s="4"/>
    </row>
    <row r="218" spans="1:2" x14ac:dyDescent="0.25">
      <c r="A218" s="2"/>
      <c r="B218" s="4"/>
    </row>
    <row r="219" spans="1:2" x14ac:dyDescent="0.25">
      <c r="A219" s="2"/>
      <c r="B219" s="4"/>
    </row>
    <row r="220" spans="1:2" x14ac:dyDescent="0.25">
      <c r="A220" s="2"/>
      <c r="B220" s="4"/>
    </row>
    <row r="221" spans="1:2" x14ac:dyDescent="0.25">
      <c r="A221" s="2"/>
      <c r="B221" s="4"/>
    </row>
    <row r="222" spans="1:2" x14ac:dyDescent="0.25">
      <c r="A222" s="2"/>
      <c r="B222" s="4"/>
    </row>
    <row r="223" spans="1:2" x14ac:dyDescent="0.25">
      <c r="A223" s="2"/>
      <c r="B223" s="4"/>
    </row>
    <row r="224" spans="1:2" x14ac:dyDescent="0.25">
      <c r="A224" s="2"/>
      <c r="B224" s="4"/>
    </row>
    <row r="225" spans="1:2" x14ac:dyDescent="0.25">
      <c r="A225" s="2"/>
      <c r="B225" s="4"/>
    </row>
    <row r="226" spans="1:2" x14ac:dyDescent="0.25">
      <c r="A226" s="2"/>
      <c r="B226" s="4"/>
    </row>
    <row r="227" spans="1:2" x14ac:dyDescent="0.25">
      <c r="A227" s="2"/>
      <c r="B227" s="4"/>
    </row>
    <row r="228" spans="1:2" x14ac:dyDescent="0.25">
      <c r="A228" s="2"/>
      <c r="B228" s="4"/>
    </row>
    <row r="229" spans="1:2" x14ac:dyDescent="0.25">
      <c r="A229" s="2"/>
      <c r="B229" s="4"/>
    </row>
    <row r="230" spans="1:2" x14ac:dyDescent="0.25">
      <c r="A230" s="2"/>
      <c r="B230" s="4"/>
    </row>
    <row r="231" spans="1:2" x14ac:dyDescent="0.25">
      <c r="A231" s="2"/>
      <c r="B231" s="4"/>
    </row>
    <row r="232" spans="1:2" x14ac:dyDescent="0.25">
      <c r="A232" s="2"/>
      <c r="B232" s="4"/>
    </row>
    <row r="233" spans="1:2" x14ac:dyDescent="0.25">
      <c r="A233" s="2"/>
      <c r="B233" s="4"/>
    </row>
    <row r="234" spans="1:2" x14ac:dyDescent="0.25">
      <c r="A234" s="2"/>
      <c r="B234" s="4"/>
    </row>
    <row r="235" spans="1:2" x14ac:dyDescent="0.25">
      <c r="A235" s="2"/>
      <c r="B235" s="4"/>
    </row>
    <row r="236" spans="1:2" x14ac:dyDescent="0.25">
      <c r="A236" s="2"/>
      <c r="B236" s="4"/>
    </row>
    <row r="237" spans="1:2" x14ac:dyDescent="0.25">
      <c r="A237" s="2"/>
      <c r="B237" s="4"/>
    </row>
    <row r="238" spans="1:2" x14ac:dyDescent="0.25">
      <c r="A238" s="2"/>
      <c r="B238" s="4"/>
    </row>
    <row r="239" spans="1:2" x14ac:dyDescent="0.25">
      <c r="A239" s="2"/>
      <c r="B239" s="4"/>
    </row>
    <row r="240" spans="1:2" x14ac:dyDescent="0.25">
      <c r="A240" s="2"/>
      <c r="B240" s="4"/>
    </row>
    <row r="241" spans="1:2" x14ac:dyDescent="0.25">
      <c r="A241" s="2"/>
      <c r="B241" s="4"/>
    </row>
    <row r="242" spans="1:2" x14ac:dyDescent="0.25">
      <c r="A242" s="2"/>
      <c r="B242" s="4"/>
    </row>
    <row r="243" spans="1:2" x14ac:dyDescent="0.25">
      <c r="A243" s="2"/>
      <c r="B243" s="4"/>
    </row>
    <row r="244" spans="1:2" x14ac:dyDescent="0.25">
      <c r="A244" s="2"/>
      <c r="B244" s="4"/>
    </row>
    <row r="245" spans="1:2" x14ac:dyDescent="0.25">
      <c r="A245" s="2"/>
      <c r="B245" s="4"/>
    </row>
    <row r="246" spans="1:2" x14ac:dyDescent="0.25">
      <c r="A246" s="2"/>
      <c r="B246" s="4"/>
    </row>
    <row r="247" spans="1:2" x14ac:dyDescent="0.25">
      <c r="A247" s="2"/>
      <c r="B247" s="4"/>
    </row>
    <row r="248" spans="1:2" x14ac:dyDescent="0.25">
      <c r="A248" s="2"/>
      <c r="B248" s="4"/>
    </row>
    <row r="249" spans="1:2" x14ac:dyDescent="0.25">
      <c r="A249" s="2"/>
      <c r="B249" s="4"/>
    </row>
    <row r="250" spans="1:2" x14ac:dyDescent="0.25">
      <c r="A250" s="2"/>
      <c r="B250" s="4"/>
    </row>
    <row r="251" spans="1:2" x14ac:dyDescent="0.25">
      <c r="A251" s="2"/>
    </row>
    <row r="252" spans="1:2" x14ac:dyDescent="0.25">
      <c r="A252" s="2"/>
    </row>
    <row r="253" spans="1:2" x14ac:dyDescent="0.25">
      <c r="A253" s="2"/>
    </row>
    <row r="254" spans="1:2" x14ac:dyDescent="0.25">
      <c r="A254" s="2"/>
    </row>
    <row r="255" spans="1:2" x14ac:dyDescent="0.25">
      <c r="A255" s="2"/>
    </row>
    <row r="256" spans="1:2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3"/>
  <sheetViews>
    <sheetView topLeftCell="A40" zoomScale="87" zoomScaleNormal="87" workbookViewId="0">
      <selection activeCell="S83" sqref="S83"/>
    </sheetView>
  </sheetViews>
  <sheetFormatPr defaultRowHeight="11.25" x14ac:dyDescent="0.2"/>
  <cols>
    <col min="1" max="3" width="9.140625" style="1"/>
    <col min="4" max="4" width="14.7109375" style="10" customWidth="1"/>
    <col min="5" max="5" width="18" style="11" customWidth="1"/>
    <col min="6" max="6" width="16.7109375" style="11" customWidth="1"/>
    <col min="7" max="7" width="17.7109375" style="11" customWidth="1"/>
    <col min="8" max="14" width="9.140625" style="1"/>
    <col min="15" max="15" width="17.42578125" style="1" customWidth="1"/>
    <col min="16" max="16" width="15.5703125" style="1" customWidth="1"/>
    <col min="17" max="17" width="21.5703125" style="1" customWidth="1"/>
    <col min="18" max="16384" width="9.140625" style="1"/>
  </cols>
  <sheetData>
    <row r="1" spans="1:21" ht="12.75" x14ac:dyDescent="0.2">
      <c r="D1" s="10" t="s">
        <v>34</v>
      </c>
      <c r="E1" s="20"/>
      <c r="F1" s="20"/>
      <c r="G1" s="20"/>
    </row>
    <row r="2" spans="1:21" x14ac:dyDescent="0.2">
      <c r="D2" s="13"/>
      <c r="E2" s="12"/>
      <c r="F2" s="12"/>
      <c r="G2" s="12"/>
    </row>
    <row r="3" spans="1:21" ht="101.25" x14ac:dyDescent="0.2">
      <c r="D3" s="10" t="s">
        <v>3</v>
      </c>
      <c r="E3" s="44" t="s">
        <v>19</v>
      </c>
      <c r="F3" s="44" t="s">
        <v>20</v>
      </c>
      <c r="G3" s="44" t="s">
        <v>14</v>
      </c>
      <c r="H3" s="44" t="s">
        <v>15</v>
      </c>
      <c r="I3" s="44" t="s">
        <v>21</v>
      </c>
      <c r="J3" s="44" t="s">
        <v>22</v>
      </c>
      <c r="K3" s="44" t="s">
        <v>23</v>
      </c>
      <c r="L3" s="44" t="s">
        <v>24</v>
      </c>
      <c r="M3" s="44" t="s">
        <v>25</v>
      </c>
      <c r="N3" s="44" t="s">
        <v>26</v>
      </c>
      <c r="O3" s="44" t="s">
        <v>27</v>
      </c>
      <c r="P3" s="44" t="s">
        <v>28</v>
      </c>
      <c r="Q3" s="44" t="s">
        <v>29</v>
      </c>
      <c r="R3" s="44" t="s">
        <v>30</v>
      </c>
      <c r="S3" s="44" t="s">
        <v>31</v>
      </c>
      <c r="T3" s="44" t="s">
        <v>32</v>
      </c>
      <c r="U3" s="45" t="s">
        <v>33</v>
      </c>
    </row>
    <row r="4" spans="1:21" x14ac:dyDescent="0.2">
      <c r="A4" s="1" t="str">
        <f t="shared" ref="A4:A32" si="0">CONCATENATE(B4,C4)</f>
        <v>20171</v>
      </c>
      <c r="B4" s="1">
        <f t="shared" ref="B4:B32" si="1">YEAR(D4)</f>
        <v>2017</v>
      </c>
      <c r="C4" s="1">
        <f t="shared" ref="C4:C32" si="2">MONTH(D4)</f>
        <v>1</v>
      </c>
      <c r="D4" s="9">
        <v>42736</v>
      </c>
      <c r="E4" s="98">
        <v>85.504490000000004</v>
      </c>
      <c r="F4" s="98">
        <v>86.534270000000006</v>
      </c>
      <c r="G4" s="98">
        <v>82.043360000000007</v>
      </c>
      <c r="H4" s="98">
        <v>89.253050000000002</v>
      </c>
      <c r="I4" s="98">
        <v>109.54627000000001</v>
      </c>
      <c r="J4" s="98">
        <v>143.55978999999999</v>
      </c>
      <c r="K4" s="98" t="s">
        <v>40</v>
      </c>
      <c r="L4" s="98">
        <v>83.637460000000004</v>
      </c>
      <c r="M4" s="98">
        <v>93.803299999999993</v>
      </c>
      <c r="N4" s="98">
        <v>68.354100000000003</v>
      </c>
      <c r="O4" s="98">
        <v>108.35245999999999</v>
      </c>
      <c r="P4" s="98">
        <v>58.928069999999998</v>
      </c>
      <c r="Q4" s="98">
        <v>106.95267</v>
      </c>
      <c r="R4" s="98">
        <v>71.258660000000006</v>
      </c>
      <c r="S4" s="98">
        <v>59.216920000000002</v>
      </c>
      <c r="T4" s="98">
        <v>95.583960000000005</v>
      </c>
      <c r="U4" s="98">
        <v>125.48721</v>
      </c>
    </row>
    <row r="5" spans="1:21" x14ac:dyDescent="0.2">
      <c r="A5" s="1" t="str">
        <f t="shared" si="0"/>
        <v>20172</v>
      </c>
      <c r="B5" s="1">
        <f t="shared" si="1"/>
        <v>2017</v>
      </c>
      <c r="C5" s="1">
        <f t="shared" si="2"/>
        <v>2</v>
      </c>
      <c r="D5" s="9">
        <v>42767</v>
      </c>
      <c r="E5" s="99">
        <v>87.319040000000001</v>
      </c>
      <c r="F5" s="99">
        <v>80.395409999999998</v>
      </c>
      <c r="G5" s="99">
        <v>72.939490000000006</v>
      </c>
      <c r="H5" s="99">
        <v>84.909180000000006</v>
      </c>
      <c r="I5" s="99">
        <v>100.17746</v>
      </c>
      <c r="J5" s="99">
        <v>121.90974</v>
      </c>
      <c r="K5" s="99" t="s">
        <v>40</v>
      </c>
      <c r="L5" s="99">
        <v>81.442409999999995</v>
      </c>
      <c r="M5" s="99">
        <v>82.420940000000002</v>
      </c>
      <c r="N5" s="99">
        <v>66.247640000000004</v>
      </c>
      <c r="O5" s="99">
        <v>90.594369999999998</v>
      </c>
      <c r="P5" s="99">
        <v>59.658940000000001</v>
      </c>
      <c r="Q5" s="99">
        <v>101.43342</v>
      </c>
      <c r="R5" s="99">
        <v>71.942189999999997</v>
      </c>
      <c r="S5" s="99">
        <v>63.362349999999999</v>
      </c>
      <c r="T5" s="99">
        <v>77.277609999999996</v>
      </c>
      <c r="U5" s="99">
        <v>120.80091</v>
      </c>
    </row>
    <row r="6" spans="1:21" x14ac:dyDescent="0.2">
      <c r="A6" s="1" t="str">
        <f t="shared" si="0"/>
        <v>20173</v>
      </c>
      <c r="B6" s="1">
        <f t="shared" si="1"/>
        <v>2017</v>
      </c>
      <c r="C6" s="1">
        <f t="shared" si="2"/>
        <v>3</v>
      </c>
      <c r="D6" s="9">
        <v>42795</v>
      </c>
      <c r="E6" s="99">
        <v>88.674109999999999</v>
      </c>
      <c r="F6" s="99">
        <v>87.567210000000003</v>
      </c>
      <c r="G6" s="99">
        <v>74.693790000000007</v>
      </c>
      <c r="H6" s="99">
        <v>95.360709999999997</v>
      </c>
      <c r="I6" s="99">
        <v>119.40062</v>
      </c>
      <c r="J6" s="99">
        <v>123.06341999999999</v>
      </c>
      <c r="K6" s="99" t="s">
        <v>40</v>
      </c>
      <c r="L6" s="99">
        <v>90.011880000000005</v>
      </c>
      <c r="M6" s="99">
        <v>95.550889999999995</v>
      </c>
      <c r="N6" s="99">
        <v>70.19699</v>
      </c>
      <c r="O6" s="99">
        <v>99.663799999999995</v>
      </c>
      <c r="P6" s="99">
        <v>63.401380000000003</v>
      </c>
      <c r="Q6" s="99">
        <v>117.01355</v>
      </c>
      <c r="R6" s="99">
        <v>78.849500000000006</v>
      </c>
      <c r="S6" s="99">
        <v>86.556629999999998</v>
      </c>
      <c r="T6" s="99">
        <v>87.83211</v>
      </c>
      <c r="U6" s="99">
        <v>126.34780000000001</v>
      </c>
    </row>
    <row r="7" spans="1:21" x14ac:dyDescent="0.2">
      <c r="A7" s="1" t="str">
        <f t="shared" si="0"/>
        <v>20174</v>
      </c>
      <c r="B7" s="1">
        <f t="shared" si="1"/>
        <v>2017</v>
      </c>
      <c r="C7" s="1">
        <f t="shared" si="2"/>
        <v>4</v>
      </c>
      <c r="D7" s="9">
        <v>42826</v>
      </c>
      <c r="E7" s="99">
        <v>87.246350000000007</v>
      </c>
      <c r="F7" s="99">
        <v>83.339269999999999</v>
      </c>
      <c r="G7" s="99">
        <v>72.487430000000003</v>
      </c>
      <c r="H7" s="99">
        <v>89.908919999999995</v>
      </c>
      <c r="I7" s="99">
        <v>91.538579999999996</v>
      </c>
      <c r="J7" s="99">
        <v>78.583950000000002</v>
      </c>
      <c r="K7" s="99" t="s">
        <v>40</v>
      </c>
      <c r="L7" s="99">
        <v>92.176869999999994</v>
      </c>
      <c r="M7" s="99">
        <v>79.484669999999994</v>
      </c>
      <c r="N7" s="99">
        <v>63.444400000000002</v>
      </c>
      <c r="O7" s="99">
        <v>111.4233</v>
      </c>
      <c r="P7" s="99">
        <v>56.649059999999999</v>
      </c>
      <c r="Q7" s="99">
        <v>117.12649</v>
      </c>
      <c r="R7" s="99">
        <v>74.450810000000004</v>
      </c>
      <c r="S7" s="99">
        <v>69.006730000000005</v>
      </c>
      <c r="T7" s="99">
        <v>67.043940000000006</v>
      </c>
      <c r="U7" s="99">
        <v>123.19929999999999</v>
      </c>
    </row>
    <row r="8" spans="1:21" x14ac:dyDescent="0.2">
      <c r="A8" s="1" t="str">
        <f t="shared" si="0"/>
        <v>20175</v>
      </c>
      <c r="B8" s="1">
        <f t="shared" si="1"/>
        <v>2017</v>
      </c>
      <c r="C8" s="1">
        <f t="shared" si="2"/>
        <v>5</v>
      </c>
      <c r="D8" s="9">
        <v>42856</v>
      </c>
      <c r="E8" s="99">
        <v>86.987139999999997</v>
      </c>
      <c r="F8" s="99">
        <v>86.623400000000004</v>
      </c>
      <c r="G8" s="99">
        <v>78.862710000000007</v>
      </c>
      <c r="H8" s="99">
        <v>91.321680000000001</v>
      </c>
      <c r="I8" s="99">
        <v>94.170259999999999</v>
      </c>
      <c r="J8" s="99">
        <v>96.390860000000004</v>
      </c>
      <c r="K8" s="99" t="s">
        <v>40</v>
      </c>
      <c r="L8" s="99">
        <v>88.697649999999996</v>
      </c>
      <c r="M8" s="99">
        <v>87.479780000000005</v>
      </c>
      <c r="N8" s="99">
        <v>58.16686</v>
      </c>
      <c r="O8" s="99">
        <v>107.34892000000001</v>
      </c>
      <c r="P8" s="99">
        <v>64.31156</v>
      </c>
      <c r="Q8" s="99">
        <v>107.94235999999999</v>
      </c>
      <c r="R8" s="99">
        <v>76.471180000000004</v>
      </c>
      <c r="S8" s="99">
        <v>88.35463</v>
      </c>
      <c r="T8" s="99">
        <v>94.920159999999996</v>
      </c>
      <c r="U8" s="99">
        <v>135.74669</v>
      </c>
    </row>
    <row r="9" spans="1:21" x14ac:dyDescent="0.2">
      <c r="A9" s="1" t="str">
        <f t="shared" si="0"/>
        <v>20176</v>
      </c>
      <c r="B9" s="1">
        <f t="shared" si="1"/>
        <v>2017</v>
      </c>
      <c r="C9" s="1">
        <f t="shared" si="2"/>
        <v>6</v>
      </c>
      <c r="D9" s="9">
        <v>42887</v>
      </c>
      <c r="E9" s="99">
        <v>87.936250000000001</v>
      </c>
      <c r="F9" s="99">
        <v>86.487729999999999</v>
      </c>
      <c r="G9" s="99">
        <v>77.446749999999994</v>
      </c>
      <c r="H9" s="99">
        <v>91.961089999999999</v>
      </c>
      <c r="I9" s="99">
        <v>87.733069999999998</v>
      </c>
      <c r="J9" s="99">
        <v>103.79438</v>
      </c>
      <c r="K9" s="99" t="s">
        <v>40</v>
      </c>
      <c r="L9" s="99">
        <v>95.057770000000005</v>
      </c>
      <c r="M9" s="99">
        <v>94.393699999999995</v>
      </c>
      <c r="N9" s="99">
        <v>61.395209999999999</v>
      </c>
      <c r="O9" s="99">
        <v>117.85457</v>
      </c>
      <c r="P9" s="99">
        <v>61.400419999999997</v>
      </c>
      <c r="Q9" s="99">
        <v>104.7692</v>
      </c>
      <c r="R9" s="99">
        <v>83.081950000000006</v>
      </c>
      <c r="S9" s="99">
        <v>63.478830000000002</v>
      </c>
      <c r="T9" s="99">
        <v>93.791870000000003</v>
      </c>
      <c r="U9" s="99">
        <v>130.31809999999999</v>
      </c>
    </row>
    <row r="10" spans="1:21" x14ac:dyDescent="0.2">
      <c r="A10" s="1" t="str">
        <f t="shared" si="0"/>
        <v>20177</v>
      </c>
      <c r="B10" s="1">
        <f t="shared" si="1"/>
        <v>2017</v>
      </c>
      <c r="C10" s="1">
        <f t="shared" si="2"/>
        <v>7</v>
      </c>
      <c r="D10" s="9">
        <v>42917</v>
      </c>
      <c r="E10" s="99">
        <v>81.014930000000007</v>
      </c>
      <c r="F10" s="99">
        <v>83.690110000000004</v>
      </c>
      <c r="G10" s="99">
        <v>82.346220000000002</v>
      </c>
      <c r="H10" s="99">
        <v>84.503690000000006</v>
      </c>
      <c r="I10" s="99">
        <v>95.623980000000003</v>
      </c>
      <c r="J10" s="99">
        <v>92.513729999999995</v>
      </c>
      <c r="K10" s="99" t="s">
        <v>40</v>
      </c>
      <c r="L10" s="99">
        <v>71.611519999999999</v>
      </c>
      <c r="M10" s="99">
        <v>101.40161999999999</v>
      </c>
      <c r="N10" s="99">
        <v>50.179079999999999</v>
      </c>
      <c r="O10" s="99">
        <v>137.15454</v>
      </c>
      <c r="P10" s="99">
        <v>67.607849999999999</v>
      </c>
      <c r="Q10" s="99">
        <v>95.025880000000001</v>
      </c>
      <c r="R10" s="99">
        <v>79.859610000000004</v>
      </c>
      <c r="S10" s="99">
        <v>87.85172</v>
      </c>
      <c r="T10" s="99">
        <v>83.914140000000003</v>
      </c>
      <c r="U10" s="99">
        <v>132.99728999999999</v>
      </c>
    </row>
    <row r="11" spans="1:21" x14ac:dyDescent="0.2">
      <c r="A11" s="1" t="str">
        <f t="shared" si="0"/>
        <v>20178</v>
      </c>
      <c r="B11" s="1">
        <f t="shared" si="1"/>
        <v>2017</v>
      </c>
      <c r="C11" s="1">
        <f t="shared" si="2"/>
        <v>8</v>
      </c>
      <c r="D11" s="9">
        <v>42948</v>
      </c>
      <c r="E11" s="99">
        <v>86.072519999999997</v>
      </c>
      <c r="F11" s="99">
        <v>88.467200000000005</v>
      </c>
      <c r="G11" s="99">
        <v>75.298509999999993</v>
      </c>
      <c r="H11" s="99">
        <v>96.439440000000005</v>
      </c>
      <c r="I11" s="99">
        <v>109.0615</v>
      </c>
      <c r="J11" s="99">
        <v>109.7146</v>
      </c>
      <c r="K11" s="99" t="s">
        <v>40</v>
      </c>
      <c r="L11" s="99">
        <v>77.729159999999993</v>
      </c>
      <c r="M11" s="99">
        <v>112.56922</v>
      </c>
      <c r="N11" s="99">
        <v>93.009410000000003</v>
      </c>
      <c r="O11" s="99">
        <v>144.07129</v>
      </c>
      <c r="P11" s="99">
        <v>70.812240000000003</v>
      </c>
      <c r="Q11" s="99">
        <v>112.41082</v>
      </c>
      <c r="R11" s="99">
        <v>65.83</v>
      </c>
      <c r="S11" s="99">
        <v>118.29165</v>
      </c>
      <c r="T11" s="99">
        <v>92.590379999999996</v>
      </c>
      <c r="U11" s="99">
        <v>127.61136999999999</v>
      </c>
    </row>
    <row r="12" spans="1:21" x14ac:dyDescent="0.2">
      <c r="A12" s="1" t="str">
        <f t="shared" si="0"/>
        <v>20179</v>
      </c>
      <c r="B12" s="1">
        <f t="shared" si="1"/>
        <v>2017</v>
      </c>
      <c r="C12" s="1">
        <f t="shared" si="2"/>
        <v>9</v>
      </c>
      <c r="D12" s="9">
        <v>42979</v>
      </c>
      <c r="E12" s="99">
        <v>91.848439999999997</v>
      </c>
      <c r="F12" s="99">
        <v>91.4024</v>
      </c>
      <c r="G12" s="99">
        <v>77.988420000000005</v>
      </c>
      <c r="H12" s="99">
        <v>99.523150000000001</v>
      </c>
      <c r="I12" s="99">
        <v>108.15322999999999</v>
      </c>
      <c r="J12" s="99">
        <v>123.49037</v>
      </c>
      <c r="K12" s="99" t="s">
        <v>40</v>
      </c>
      <c r="L12" s="99">
        <v>92.071529999999996</v>
      </c>
      <c r="M12" s="99">
        <v>118.93057</v>
      </c>
      <c r="N12" s="99">
        <v>91.910520000000005</v>
      </c>
      <c r="O12" s="99">
        <v>120.62136</v>
      </c>
      <c r="P12" s="99">
        <v>62.804490000000001</v>
      </c>
      <c r="Q12" s="99">
        <v>108.49365</v>
      </c>
      <c r="R12" s="99">
        <v>67.180199999999999</v>
      </c>
      <c r="S12" s="99">
        <v>103.90367999999999</v>
      </c>
      <c r="T12" s="99">
        <v>68.725809999999996</v>
      </c>
      <c r="U12" s="99">
        <v>123.42352</v>
      </c>
    </row>
    <row r="13" spans="1:21" x14ac:dyDescent="0.2">
      <c r="A13" s="1" t="str">
        <f t="shared" si="0"/>
        <v>201710</v>
      </c>
      <c r="B13" s="1">
        <f t="shared" si="1"/>
        <v>2017</v>
      </c>
      <c r="C13" s="1">
        <f t="shared" si="2"/>
        <v>10</v>
      </c>
      <c r="D13" s="9">
        <v>43009</v>
      </c>
      <c r="E13" s="99">
        <v>92.709059999999994</v>
      </c>
      <c r="F13" s="99">
        <v>98.19408</v>
      </c>
      <c r="G13" s="99">
        <v>81.764219999999995</v>
      </c>
      <c r="H13" s="99">
        <v>108.14062</v>
      </c>
      <c r="I13" s="99">
        <v>115.20372</v>
      </c>
      <c r="J13" s="99">
        <v>156.09690000000001</v>
      </c>
      <c r="K13" s="99" t="s">
        <v>40</v>
      </c>
      <c r="L13" s="99">
        <v>105.35934</v>
      </c>
      <c r="M13" s="99">
        <v>114.40748000000001</v>
      </c>
      <c r="N13" s="99">
        <v>65.600729999999999</v>
      </c>
      <c r="O13" s="99">
        <v>124.46405</v>
      </c>
      <c r="P13" s="99">
        <v>60.322940000000003</v>
      </c>
      <c r="Q13" s="99">
        <v>119.64596</v>
      </c>
      <c r="R13" s="99">
        <v>74.377899999999997</v>
      </c>
      <c r="S13" s="99">
        <v>114.23972000000001</v>
      </c>
      <c r="T13" s="99">
        <v>66.662890000000004</v>
      </c>
      <c r="U13" s="99">
        <v>140.16825</v>
      </c>
    </row>
    <row r="14" spans="1:21" x14ac:dyDescent="0.2">
      <c r="A14" s="1" t="str">
        <f t="shared" si="0"/>
        <v>201711</v>
      </c>
      <c r="B14" s="1">
        <f t="shared" si="1"/>
        <v>2017</v>
      </c>
      <c r="C14" s="1">
        <f t="shared" si="2"/>
        <v>11</v>
      </c>
      <c r="D14" s="9">
        <v>43040</v>
      </c>
      <c r="E14" s="99">
        <v>91.239339999999999</v>
      </c>
      <c r="F14" s="99">
        <v>93.289730000000006</v>
      </c>
      <c r="G14" s="99">
        <v>78.315489999999997</v>
      </c>
      <c r="H14" s="99">
        <v>102.35505000000001</v>
      </c>
      <c r="I14" s="99">
        <v>114.23939</v>
      </c>
      <c r="J14" s="99">
        <v>156.87601000000001</v>
      </c>
      <c r="K14" s="99" t="s">
        <v>40</v>
      </c>
      <c r="L14" s="99">
        <v>89.382739999999998</v>
      </c>
      <c r="M14" s="99">
        <v>123.96544</v>
      </c>
      <c r="N14" s="99">
        <v>85.216319999999996</v>
      </c>
      <c r="O14" s="99">
        <v>117.90873999999999</v>
      </c>
      <c r="P14" s="99">
        <v>64.371499999999997</v>
      </c>
      <c r="Q14" s="99">
        <v>119.64825</v>
      </c>
      <c r="R14" s="99">
        <v>79.052809999999994</v>
      </c>
      <c r="S14" s="99">
        <v>108.90366</v>
      </c>
      <c r="T14" s="99">
        <v>68.217609999999993</v>
      </c>
      <c r="U14" s="99">
        <v>130.08994999999999</v>
      </c>
    </row>
    <row r="15" spans="1:21" x14ac:dyDescent="0.2">
      <c r="A15" s="1" t="str">
        <f t="shared" si="0"/>
        <v>201712</v>
      </c>
      <c r="B15" s="1">
        <f t="shared" si="1"/>
        <v>2017</v>
      </c>
      <c r="C15" s="1">
        <f t="shared" si="2"/>
        <v>12</v>
      </c>
      <c r="D15" s="9">
        <v>43070</v>
      </c>
      <c r="E15" s="100">
        <v>90.406760000000006</v>
      </c>
      <c r="F15" s="100">
        <v>91.264269999999996</v>
      </c>
      <c r="G15" s="100">
        <v>77.946640000000002</v>
      </c>
      <c r="H15" s="100">
        <v>99.326679999999996</v>
      </c>
      <c r="I15" s="100">
        <v>122.89167999999999</v>
      </c>
      <c r="J15" s="100">
        <v>160.84234000000001</v>
      </c>
      <c r="K15" s="100" t="s">
        <v>40</v>
      </c>
      <c r="L15" s="100">
        <v>99.878569999999996</v>
      </c>
      <c r="M15" s="100">
        <v>105.91228</v>
      </c>
      <c r="N15" s="100">
        <v>66.604370000000003</v>
      </c>
      <c r="O15" s="100">
        <v>102.61887</v>
      </c>
      <c r="P15" s="100">
        <v>55.800150000000002</v>
      </c>
      <c r="Q15" s="100">
        <v>106.85231</v>
      </c>
      <c r="R15" s="100">
        <v>66.238939999999999</v>
      </c>
      <c r="S15" s="100">
        <v>84.716070000000002</v>
      </c>
      <c r="T15" s="100">
        <v>52.903379999999999</v>
      </c>
      <c r="U15" s="100">
        <v>132.93401</v>
      </c>
    </row>
    <row r="16" spans="1:21" x14ac:dyDescent="0.2">
      <c r="A16" s="1" t="str">
        <f t="shared" si="0"/>
        <v>20181</v>
      </c>
      <c r="B16" s="1">
        <f t="shared" si="1"/>
        <v>2018</v>
      </c>
      <c r="C16" s="1">
        <f t="shared" si="2"/>
        <v>1</v>
      </c>
      <c r="D16" s="9">
        <v>43101</v>
      </c>
      <c r="E16" s="98">
        <v>90.346419999999995</v>
      </c>
      <c r="F16" s="98">
        <v>91.447999999999993</v>
      </c>
      <c r="G16" s="98">
        <v>80.235150000000004</v>
      </c>
      <c r="H16" s="98">
        <v>98.236180000000004</v>
      </c>
      <c r="I16" s="98">
        <v>129.34644</v>
      </c>
      <c r="J16" s="98">
        <v>131.32400000000001</v>
      </c>
      <c r="K16" s="98" t="s">
        <v>40</v>
      </c>
      <c r="L16" s="98">
        <v>95.037130000000005</v>
      </c>
      <c r="M16" s="98">
        <v>93.534170000000003</v>
      </c>
      <c r="N16" s="98">
        <v>63.192520000000002</v>
      </c>
      <c r="O16" s="98">
        <v>111.94942</v>
      </c>
      <c r="P16" s="98">
        <v>66.050229999999999</v>
      </c>
      <c r="Q16" s="98">
        <v>119.39534</v>
      </c>
      <c r="R16" s="98">
        <v>63.323740000000001</v>
      </c>
      <c r="S16" s="98">
        <v>92.850909999999999</v>
      </c>
      <c r="T16" s="98">
        <v>53.983780000000003</v>
      </c>
      <c r="U16" s="98">
        <v>130.32504</v>
      </c>
    </row>
    <row r="17" spans="1:21" x14ac:dyDescent="0.2">
      <c r="A17" s="1" t="str">
        <f t="shared" si="0"/>
        <v>20182</v>
      </c>
      <c r="B17" s="1">
        <f t="shared" si="1"/>
        <v>2018</v>
      </c>
      <c r="C17" s="1">
        <f t="shared" si="2"/>
        <v>2</v>
      </c>
      <c r="D17" s="9">
        <v>43132</v>
      </c>
      <c r="E17" s="99">
        <v>89.942509999999999</v>
      </c>
      <c r="F17" s="99">
        <v>82.913039999999995</v>
      </c>
      <c r="G17" s="99">
        <v>72.442959999999999</v>
      </c>
      <c r="H17" s="99">
        <v>89.251570000000001</v>
      </c>
      <c r="I17" s="99">
        <v>96.454030000000003</v>
      </c>
      <c r="J17" s="99">
        <v>136.30324999999999</v>
      </c>
      <c r="K17" s="99" t="s">
        <v>40</v>
      </c>
      <c r="L17" s="99">
        <v>84.937110000000004</v>
      </c>
      <c r="M17" s="99">
        <v>87.611900000000006</v>
      </c>
      <c r="N17" s="99">
        <v>57.460129999999999</v>
      </c>
      <c r="O17" s="99">
        <v>85.905190000000005</v>
      </c>
      <c r="P17" s="99">
        <v>59.143689999999999</v>
      </c>
      <c r="Q17" s="99">
        <v>107.47313</v>
      </c>
      <c r="R17" s="99">
        <v>58.018729999999998</v>
      </c>
      <c r="S17" s="99">
        <v>99.57217</v>
      </c>
      <c r="T17" s="99">
        <v>37.679290000000002</v>
      </c>
      <c r="U17" s="99">
        <v>112.22645</v>
      </c>
    </row>
    <row r="18" spans="1:21" x14ac:dyDescent="0.2">
      <c r="A18" s="1" t="str">
        <f t="shared" si="0"/>
        <v>20183</v>
      </c>
      <c r="B18" s="1">
        <f t="shared" si="1"/>
        <v>2018</v>
      </c>
      <c r="C18" s="1">
        <f t="shared" si="2"/>
        <v>3</v>
      </c>
      <c r="D18" s="9">
        <v>43160</v>
      </c>
      <c r="E18" s="99">
        <v>88.87527</v>
      </c>
      <c r="F18" s="99">
        <v>87.401809999999998</v>
      </c>
      <c r="G18" s="99">
        <v>77.635509999999996</v>
      </c>
      <c r="H18" s="99">
        <v>93.314279999999997</v>
      </c>
      <c r="I18" s="99">
        <v>134.79184000000001</v>
      </c>
      <c r="J18" s="99">
        <v>102.87309</v>
      </c>
      <c r="K18" s="99" t="s">
        <v>40</v>
      </c>
      <c r="L18" s="99">
        <v>76.102959999999996</v>
      </c>
      <c r="M18" s="99">
        <v>96.651740000000004</v>
      </c>
      <c r="N18" s="99">
        <v>67.289670000000001</v>
      </c>
      <c r="O18" s="99">
        <v>114.77157</v>
      </c>
      <c r="P18" s="99">
        <v>71.266729999999995</v>
      </c>
      <c r="Q18" s="99">
        <v>124.36489</v>
      </c>
      <c r="R18" s="99">
        <v>70.750699999999995</v>
      </c>
      <c r="S18" s="99">
        <v>115.93217</v>
      </c>
      <c r="T18" s="99">
        <v>48.260339999999999</v>
      </c>
      <c r="U18" s="99">
        <v>124.07598</v>
      </c>
    </row>
    <row r="19" spans="1:21" x14ac:dyDescent="0.2">
      <c r="A19" s="1" t="str">
        <f t="shared" si="0"/>
        <v>20184</v>
      </c>
      <c r="B19" s="1">
        <f t="shared" si="1"/>
        <v>2018</v>
      </c>
      <c r="C19" s="1">
        <f t="shared" si="2"/>
        <v>4</v>
      </c>
      <c r="D19" s="9">
        <v>43191</v>
      </c>
      <c r="E19" s="99">
        <v>96.212569999999999</v>
      </c>
      <c r="F19" s="99">
        <v>91.797030000000007</v>
      </c>
      <c r="G19" s="99">
        <v>78.32217</v>
      </c>
      <c r="H19" s="99">
        <v>99.954629999999995</v>
      </c>
      <c r="I19" s="99">
        <v>115.70560999999999</v>
      </c>
      <c r="J19" s="99">
        <v>94.163219999999995</v>
      </c>
      <c r="K19" s="99" t="s">
        <v>40</v>
      </c>
      <c r="L19" s="99">
        <v>100.94763</v>
      </c>
      <c r="M19" s="99">
        <v>91.107690000000005</v>
      </c>
      <c r="N19" s="99">
        <v>77.78098</v>
      </c>
      <c r="O19" s="99">
        <v>115.94677</v>
      </c>
      <c r="P19" s="99">
        <v>68.091639999999998</v>
      </c>
      <c r="Q19" s="99">
        <v>119.14702</v>
      </c>
      <c r="R19" s="99">
        <v>56.445549999999997</v>
      </c>
      <c r="S19" s="99">
        <v>104.78919</v>
      </c>
      <c r="T19" s="99">
        <v>46.360550000000003</v>
      </c>
      <c r="U19" s="99">
        <v>126.71611</v>
      </c>
    </row>
    <row r="20" spans="1:21" x14ac:dyDescent="0.2">
      <c r="A20" s="1" t="str">
        <f t="shared" si="0"/>
        <v>20185</v>
      </c>
      <c r="B20" s="1">
        <f t="shared" si="1"/>
        <v>2018</v>
      </c>
      <c r="C20" s="1">
        <f t="shared" si="2"/>
        <v>5</v>
      </c>
      <c r="D20" s="9">
        <v>43221</v>
      </c>
      <c r="E20" s="99">
        <v>88.781409999999994</v>
      </c>
      <c r="F20" s="99">
        <v>88.31035</v>
      </c>
      <c r="G20" s="99">
        <v>79.565960000000004</v>
      </c>
      <c r="H20" s="99">
        <v>93.604159999999993</v>
      </c>
      <c r="I20" s="99">
        <v>100.41718</v>
      </c>
      <c r="J20" s="99">
        <v>108.58073</v>
      </c>
      <c r="K20" s="99" t="s">
        <v>40</v>
      </c>
      <c r="L20" s="99">
        <v>95.328710000000001</v>
      </c>
      <c r="M20" s="99">
        <v>92.093590000000006</v>
      </c>
      <c r="N20" s="99">
        <v>72.740340000000003</v>
      </c>
      <c r="O20" s="99">
        <v>97.98339</v>
      </c>
      <c r="P20" s="99">
        <v>59.988190000000003</v>
      </c>
      <c r="Q20" s="99">
        <v>117.75319</v>
      </c>
      <c r="R20" s="99">
        <v>66.297190000000001</v>
      </c>
      <c r="S20" s="99">
        <v>73.774060000000006</v>
      </c>
      <c r="T20" s="99">
        <v>49.750860000000003</v>
      </c>
      <c r="U20" s="99">
        <v>126.7769</v>
      </c>
    </row>
    <row r="21" spans="1:21" x14ac:dyDescent="0.2">
      <c r="A21" s="1" t="str">
        <f t="shared" si="0"/>
        <v>20186</v>
      </c>
      <c r="B21" s="1">
        <f t="shared" si="1"/>
        <v>2018</v>
      </c>
      <c r="C21" s="1">
        <f t="shared" si="2"/>
        <v>6</v>
      </c>
      <c r="D21" s="9">
        <v>43252</v>
      </c>
      <c r="E21" s="99">
        <v>91.321389999999994</v>
      </c>
      <c r="F21" s="99">
        <v>89.663730000000001</v>
      </c>
      <c r="G21" s="99">
        <v>75.710939999999994</v>
      </c>
      <c r="H21" s="99">
        <v>98.110669999999999</v>
      </c>
      <c r="I21" s="99">
        <v>117.52003000000001</v>
      </c>
      <c r="J21" s="99">
        <v>105.90937</v>
      </c>
      <c r="K21" s="99" t="s">
        <v>40</v>
      </c>
      <c r="L21" s="99">
        <v>94.139399999999995</v>
      </c>
      <c r="M21" s="99">
        <v>111.55244</v>
      </c>
      <c r="N21" s="99">
        <v>84.856880000000004</v>
      </c>
      <c r="O21" s="99">
        <v>91.258430000000004</v>
      </c>
      <c r="P21" s="99">
        <v>78.480519999999999</v>
      </c>
      <c r="Q21" s="99">
        <v>98.306219999999996</v>
      </c>
      <c r="R21" s="99">
        <v>61.857880000000002</v>
      </c>
      <c r="S21" s="99">
        <v>116.61682999999999</v>
      </c>
      <c r="T21" s="99">
        <v>40.559939999999997</v>
      </c>
      <c r="U21" s="99">
        <v>134.52549999999999</v>
      </c>
    </row>
    <row r="22" spans="1:21" x14ac:dyDescent="0.2">
      <c r="A22" s="1" t="str">
        <f t="shared" si="0"/>
        <v>20187</v>
      </c>
      <c r="B22" s="1">
        <f t="shared" si="1"/>
        <v>2018</v>
      </c>
      <c r="C22" s="1">
        <f t="shared" si="2"/>
        <v>7</v>
      </c>
      <c r="D22" s="9">
        <v>43282</v>
      </c>
      <c r="E22" s="99">
        <v>89.531120000000001</v>
      </c>
      <c r="F22" s="99">
        <v>92.847390000000004</v>
      </c>
      <c r="G22" s="99">
        <v>77.719880000000003</v>
      </c>
      <c r="H22" s="99">
        <v>102.00548999999999</v>
      </c>
      <c r="I22" s="99">
        <v>123.85645</v>
      </c>
      <c r="J22" s="99">
        <v>118.71913000000001</v>
      </c>
      <c r="K22" s="99" t="s">
        <v>40</v>
      </c>
      <c r="L22" s="99">
        <v>100.58487</v>
      </c>
      <c r="M22" s="99">
        <v>105.98227</v>
      </c>
      <c r="N22" s="99">
        <v>74.590199999999996</v>
      </c>
      <c r="O22" s="99">
        <v>110.27218999999999</v>
      </c>
      <c r="P22" s="99">
        <v>80.434380000000004</v>
      </c>
      <c r="Q22" s="99">
        <v>109.08168000000001</v>
      </c>
      <c r="R22" s="99">
        <v>63.288240000000002</v>
      </c>
      <c r="S22" s="99">
        <v>118.21665</v>
      </c>
      <c r="T22" s="99">
        <v>40.961480000000002</v>
      </c>
      <c r="U22" s="99">
        <v>114.28017</v>
      </c>
    </row>
    <row r="23" spans="1:21" x14ac:dyDescent="0.2">
      <c r="A23" s="1" t="str">
        <f t="shared" si="0"/>
        <v>20188</v>
      </c>
      <c r="B23" s="1">
        <f t="shared" si="1"/>
        <v>2018</v>
      </c>
      <c r="C23" s="1">
        <f t="shared" si="2"/>
        <v>8</v>
      </c>
      <c r="D23" s="9">
        <v>43313</v>
      </c>
      <c r="E23" s="99">
        <v>89.731949999999998</v>
      </c>
      <c r="F23" s="99">
        <v>92.299539999999993</v>
      </c>
      <c r="G23" s="99">
        <v>72.958669999999998</v>
      </c>
      <c r="H23" s="99">
        <v>104.00839000000001</v>
      </c>
      <c r="I23" s="99">
        <v>120.68658000000001</v>
      </c>
      <c r="J23" s="99">
        <v>112.33447</v>
      </c>
      <c r="K23" s="99" t="s">
        <v>40</v>
      </c>
      <c r="L23" s="99">
        <v>100.31698</v>
      </c>
      <c r="M23" s="99">
        <v>134.49485000000001</v>
      </c>
      <c r="N23" s="99">
        <v>90.003129999999999</v>
      </c>
      <c r="O23" s="99">
        <v>107.57377</v>
      </c>
      <c r="P23" s="99">
        <v>77.513120000000001</v>
      </c>
      <c r="Q23" s="99">
        <v>94.889830000000003</v>
      </c>
      <c r="R23" s="99">
        <v>68.471760000000003</v>
      </c>
      <c r="S23" s="99">
        <v>129.45627999999999</v>
      </c>
      <c r="T23" s="99">
        <v>36.397280000000002</v>
      </c>
      <c r="U23" s="99">
        <v>127.79953</v>
      </c>
    </row>
    <row r="24" spans="1:21" x14ac:dyDescent="0.2">
      <c r="A24" s="1" t="str">
        <f t="shared" si="0"/>
        <v>20189</v>
      </c>
      <c r="B24" s="1">
        <f t="shared" si="1"/>
        <v>2018</v>
      </c>
      <c r="C24" s="1">
        <f t="shared" si="2"/>
        <v>9</v>
      </c>
      <c r="D24" s="9">
        <v>43344</v>
      </c>
      <c r="E24" s="99">
        <v>87.765429999999995</v>
      </c>
      <c r="F24" s="99">
        <v>88.093940000000003</v>
      </c>
      <c r="G24" s="99">
        <v>71.756309999999999</v>
      </c>
      <c r="H24" s="99">
        <v>97.984639999999999</v>
      </c>
      <c r="I24" s="99">
        <v>135.2133</v>
      </c>
      <c r="J24" s="99">
        <v>106.64116</v>
      </c>
      <c r="K24" s="99" t="s">
        <v>40</v>
      </c>
      <c r="L24" s="99">
        <v>94.251710000000003</v>
      </c>
      <c r="M24" s="99">
        <v>129.49062000000001</v>
      </c>
      <c r="N24" s="99">
        <v>63.970370000000003</v>
      </c>
      <c r="O24" s="99">
        <v>109.9256</v>
      </c>
      <c r="P24" s="99">
        <v>77.591120000000004</v>
      </c>
      <c r="Q24" s="99">
        <v>104.45523</v>
      </c>
      <c r="R24" s="99">
        <v>77.837339999999998</v>
      </c>
      <c r="S24" s="99">
        <v>100.27813</v>
      </c>
      <c r="T24" s="99">
        <v>25.857430000000001</v>
      </c>
      <c r="U24" s="99">
        <v>114.35635000000001</v>
      </c>
    </row>
    <row r="25" spans="1:21" x14ac:dyDescent="0.2">
      <c r="A25" s="1" t="str">
        <f t="shared" si="0"/>
        <v>201810</v>
      </c>
      <c r="B25" s="1">
        <f t="shared" si="1"/>
        <v>2018</v>
      </c>
      <c r="C25" s="1">
        <f t="shared" si="2"/>
        <v>10</v>
      </c>
      <c r="D25" s="9">
        <v>43374</v>
      </c>
      <c r="E25" s="99">
        <v>89.738420000000005</v>
      </c>
      <c r="F25" s="99">
        <v>95.406859999999995</v>
      </c>
      <c r="G25" s="99">
        <v>78.264420000000001</v>
      </c>
      <c r="H25" s="99">
        <v>105.78479</v>
      </c>
      <c r="I25" s="99">
        <v>156.18796</v>
      </c>
      <c r="J25" s="99">
        <v>126.3372</v>
      </c>
      <c r="K25" s="99" t="s">
        <v>40</v>
      </c>
      <c r="L25" s="99">
        <v>101.16906</v>
      </c>
      <c r="M25" s="99">
        <v>124.47226000000001</v>
      </c>
      <c r="N25" s="99">
        <v>75.143159999999995</v>
      </c>
      <c r="O25" s="99">
        <v>123.87371</v>
      </c>
      <c r="P25" s="99">
        <v>73.371830000000003</v>
      </c>
      <c r="Q25" s="99">
        <v>108.62560999999999</v>
      </c>
      <c r="R25" s="99">
        <v>104.11502</v>
      </c>
      <c r="S25" s="99">
        <v>112.47117</v>
      </c>
      <c r="T25" s="99">
        <v>26.09103</v>
      </c>
      <c r="U25" s="99">
        <v>103.60836999999999</v>
      </c>
    </row>
    <row r="26" spans="1:21" x14ac:dyDescent="0.2">
      <c r="A26" s="1" t="str">
        <f t="shared" si="0"/>
        <v>201811</v>
      </c>
      <c r="B26" s="1">
        <f t="shared" si="1"/>
        <v>2018</v>
      </c>
      <c r="C26" s="1">
        <f t="shared" si="2"/>
        <v>11</v>
      </c>
      <c r="D26" s="9">
        <v>43405</v>
      </c>
      <c r="E26" s="99">
        <v>86.88552</v>
      </c>
      <c r="F26" s="99">
        <v>88.698440000000005</v>
      </c>
      <c r="G26" s="99">
        <v>76.541499999999999</v>
      </c>
      <c r="H26" s="99">
        <v>96.058179999999993</v>
      </c>
      <c r="I26" s="99">
        <v>147.13998000000001</v>
      </c>
      <c r="J26" s="99">
        <v>128.15424999999999</v>
      </c>
      <c r="K26" s="99" t="s">
        <v>40</v>
      </c>
      <c r="L26" s="99">
        <v>86.767330000000001</v>
      </c>
      <c r="M26" s="99">
        <v>123.9089</v>
      </c>
      <c r="N26" s="99">
        <v>66.319929999999999</v>
      </c>
      <c r="O26" s="99">
        <v>109.17407</v>
      </c>
      <c r="P26" s="99">
        <v>72.320070000000001</v>
      </c>
      <c r="Q26" s="99">
        <v>105.24817</v>
      </c>
      <c r="R26" s="99">
        <v>76.211320000000001</v>
      </c>
      <c r="S26" s="99">
        <v>98.3429</v>
      </c>
      <c r="T26" s="99">
        <v>23.696840000000002</v>
      </c>
      <c r="U26" s="99">
        <v>113.82514</v>
      </c>
    </row>
    <row r="27" spans="1:21" x14ac:dyDescent="0.2">
      <c r="A27" s="1" t="str">
        <f t="shared" si="0"/>
        <v>201812</v>
      </c>
      <c r="B27" s="1">
        <f t="shared" si="1"/>
        <v>2018</v>
      </c>
      <c r="C27" s="1">
        <f t="shared" si="2"/>
        <v>12</v>
      </c>
      <c r="D27" s="9">
        <v>43435</v>
      </c>
      <c r="E27" s="100">
        <v>90.993210000000005</v>
      </c>
      <c r="F27" s="100">
        <v>91.445570000000004</v>
      </c>
      <c r="G27" s="100">
        <v>82.950710000000001</v>
      </c>
      <c r="H27" s="100">
        <v>96.588300000000004</v>
      </c>
      <c r="I27" s="100">
        <v>170.07144</v>
      </c>
      <c r="J27" s="100">
        <v>152.57601</v>
      </c>
      <c r="K27" s="100" t="s">
        <v>40</v>
      </c>
      <c r="L27" s="100">
        <v>91.877870000000001</v>
      </c>
      <c r="M27" s="100">
        <v>91.779650000000004</v>
      </c>
      <c r="N27" s="100">
        <v>99.425389999999993</v>
      </c>
      <c r="O27" s="100">
        <v>99.886120000000005</v>
      </c>
      <c r="P27" s="100">
        <v>73.405090000000001</v>
      </c>
      <c r="Q27" s="100">
        <v>101.55718</v>
      </c>
      <c r="R27" s="100">
        <v>68.101669999999999</v>
      </c>
      <c r="S27" s="100">
        <v>71.688289999999995</v>
      </c>
      <c r="T27" s="100">
        <v>15.58736</v>
      </c>
      <c r="U27" s="100">
        <v>108.03207</v>
      </c>
    </row>
    <row r="28" spans="1:21" x14ac:dyDescent="0.2">
      <c r="A28" s="1" t="str">
        <f t="shared" si="0"/>
        <v>20191</v>
      </c>
      <c r="B28" s="1">
        <f t="shared" si="1"/>
        <v>2019</v>
      </c>
      <c r="C28" s="1">
        <f t="shared" si="2"/>
        <v>1</v>
      </c>
      <c r="D28" s="9">
        <v>43466</v>
      </c>
      <c r="E28" s="98">
        <v>89.147989999999993</v>
      </c>
      <c r="F28" s="98">
        <v>90.352159999999998</v>
      </c>
      <c r="G28" s="98">
        <v>81.398099999999999</v>
      </c>
      <c r="H28" s="98">
        <v>95.772890000000004</v>
      </c>
      <c r="I28" s="98">
        <v>172.02447000000001</v>
      </c>
      <c r="J28" s="98">
        <v>136.64472000000001</v>
      </c>
      <c r="K28" s="98" t="s">
        <v>40</v>
      </c>
      <c r="L28" s="98">
        <v>87.769819999999996</v>
      </c>
      <c r="M28" s="98">
        <v>95.309269999999998</v>
      </c>
      <c r="N28" s="98">
        <v>72.384960000000007</v>
      </c>
      <c r="O28" s="98">
        <v>110.68745</v>
      </c>
      <c r="P28" s="98">
        <v>68.799539999999993</v>
      </c>
      <c r="Q28" s="98">
        <v>108.06965</v>
      </c>
      <c r="R28" s="98">
        <v>65.157150000000001</v>
      </c>
      <c r="S28" s="98">
        <v>90.646159999999995</v>
      </c>
      <c r="T28" s="98">
        <v>22.190429999999999</v>
      </c>
      <c r="U28" s="98">
        <v>113.95668999999999</v>
      </c>
    </row>
    <row r="29" spans="1:21" x14ac:dyDescent="0.2">
      <c r="A29" s="1" t="str">
        <f t="shared" si="0"/>
        <v>20192</v>
      </c>
      <c r="B29" s="1">
        <f t="shared" si="1"/>
        <v>2019</v>
      </c>
      <c r="C29" s="1">
        <f t="shared" si="2"/>
        <v>2</v>
      </c>
      <c r="D29" s="9">
        <v>43497</v>
      </c>
      <c r="E29" s="99">
        <v>87.486469999999997</v>
      </c>
      <c r="F29" s="99">
        <v>82.334029999999998</v>
      </c>
      <c r="G29" s="99">
        <v>70.124020000000002</v>
      </c>
      <c r="H29" s="99">
        <v>89.725890000000007</v>
      </c>
      <c r="I29" s="99">
        <v>133.94539</v>
      </c>
      <c r="J29" s="99">
        <v>115.46901</v>
      </c>
      <c r="K29" s="99" t="s">
        <v>40</v>
      </c>
      <c r="L29" s="99">
        <v>84.54665</v>
      </c>
      <c r="M29" s="99">
        <v>76.515609999999995</v>
      </c>
      <c r="N29" s="99">
        <v>68.749129999999994</v>
      </c>
      <c r="O29" s="99">
        <v>101.68581</v>
      </c>
      <c r="P29" s="99">
        <v>63.241909999999997</v>
      </c>
      <c r="Q29" s="99">
        <v>96.760210000000001</v>
      </c>
      <c r="R29" s="99">
        <v>61.670920000000002</v>
      </c>
      <c r="S29" s="99">
        <v>100.72498</v>
      </c>
      <c r="T29" s="99">
        <v>19.98676</v>
      </c>
      <c r="U29" s="99">
        <v>115.51355</v>
      </c>
    </row>
    <row r="30" spans="1:21" x14ac:dyDescent="0.2">
      <c r="A30" s="1" t="str">
        <f t="shared" si="0"/>
        <v>20193</v>
      </c>
      <c r="B30" s="1">
        <f t="shared" si="1"/>
        <v>2019</v>
      </c>
      <c r="C30" s="1">
        <f t="shared" si="2"/>
        <v>3</v>
      </c>
      <c r="D30" s="9">
        <v>43525</v>
      </c>
      <c r="E30" s="99">
        <v>89.913659999999993</v>
      </c>
      <c r="F30" s="99">
        <v>86.023809999999997</v>
      </c>
      <c r="G30" s="99">
        <v>79.334069999999997</v>
      </c>
      <c r="H30" s="99">
        <v>90.073740000000001</v>
      </c>
      <c r="I30" s="99">
        <v>95.052899999999994</v>
      </c>
      <c r="J30" s="99">
        <v>119.33486000000001</v>
      </c>
      <c r="K30" s="99" t="s">
        <v>40</v>
      </c>
      <c r="L30" s="99">
        <v>92.961129999999997</v>
      </c>
      <c r="M30" s="99">
        <v>77.489500000000007</v>
      </c>
      <c r="N30" s="99">
        <v>52.472700000000003</v>
      </c>
      <c r="O30" s="99">
        <v>93.892179999999996</v>
      </c>
      <c r="P30" s="99">
        <v>67.514989999999997</v>
      </c>
      <c r="Q30" s="99">
        <v>108.99724999999999</v>
      </c>
      <c r="R30" s="99">
        <v>65.307180000000002</v>
      </c>
      <c r="S30" s="99">
        <v>83.777860000000004</v>
      </c>
      <c r="T30" s="99">
        <v>17.04233</v>
      </c>
      <c r="U30" s="99">
        <v>113.6983</v>
      </c>
    </row>
    <row r="31" spans="1:21" x14ac:dyDescent="0.2">
      <c r="A31" s="1" t="str">
        <f t="shared" si="0"/>
        <v>20194</v>
      </c>
      <c r="B31" s="1">
        <f t="shared" si="1"/>
        <v>2019</v>
      </c>
      <c r="C31" s="1">
        <f t="shared" si="2"/>
        <v>4</v>
      </c>
      <c r="D31" s="9">
        <v>43556</v>
      </c>
      <c r="E31" s="99">
        <v>88.512559999999993</v>
      </c>
      <c r="F31" s="99">
        <v>83.743899999999996</v>
      </c>
      <c r="G31" s="99">
        <v>79.861350000000002</v>
      </c>
      <c r="H31" s="99">
        <v>86.094380000000001</v>
      </c>
      <c r="I31" s="99">
        <v>110.08201</v>
      </c>
      <c r="J31" s="99">
        <v>111.76228</v>
      </c>
      <c r="K31" s="99" t="s">
        <v>40</v>
      </c>
      <c r="L31" s="99">
        <v>76.242009999999993</v>
      </c>
      <c r="M31" s="99">
        <v>81.083129999999997</v>
      </c>
      <c r="N31" s="99">
        <v>47.007539999999999</v>
      </c>
      <c r="O31" s="99">
        <v>105.14394</v>
      </c>
      <c r="P31" s="99">
        <v>74.074830000000006</v>
      </c>
      <c r="Q31" s="99">
        <v>100.1134</v>
      </c>
      <c r="R31" s="99">
        <v>67.512529999999998</v>
      </c>
      <c r="S31" s="99">
        <v>105.4118</v>
      </c>
      <c r="T31" s="99">
        <v>22.222639999999998</v>
      </c>
      <c r="U31" s="99">
        <v>115.69333</v>
      </c>
    </row>
    <row r="32" spans="1:21" x14ac:dyDescent="0.2">
      <c r="A32" s="1" t="str">
        <f t="shared" si="0"/>
        <v>20195</v>
      </c>
      <c r="B32" s="1">
        <f t="shared" si="1"/>
        <v>2019</v>
      </c>
      <c r="C32" s="1">
        <f t="shared" si="2"/>
        <v>5</v>
      </c>
      <c r="D32" s="9">
        <v>43586</v>
      </c>
      <c r="E32" s="99">
        <v>93.448329999999999</v>
      </c>
      <c r="F32" s="99">
        <v>92.855689999999996</v>
      </c>
      <c r="G32" s="99">
        <v>87.857420000000005</v>
      </c>
      <c r="H32" s="99">
        <v>95.881619999999998</v>
      </c>
      <c r="I32" s="99">
        <v>92.248559999999998</v>
      </c>
      <c r="J32" s="99">
        <v>114.56595</v>
      </c>
      <c r="K32" s="99" t="s">
        <v>40</v>
      </c>
      <c r="L32" s="99">
        <v>99.379339999999999</v>
      </c>
      <c r="M32" s="99">
        <v>85.497619999999998</v>
      </c>
      <c r="N32" s="99">
        <v>58.580390000000001</v>
      </c>
      <c r="O32" s="99">
        <v>108.65398</v>
      </c>
      <c r="P32" s="99">
        <v>77.439869999999999</v>
      </c>
      <c r="Q32" s="99">
        <v>96.768960000000007</v>
      </c>
      <c r="R32" s="99">
        <v>71.861770000000007</v>
      </c>
      <c r="S32" s="99">
        <v>105.17538</v>
      </c>
      <c r="T32" s="99">
        <v>22.23686</v>
      </c>
      <c r="U32" s="99">
        <v>122.86596</v>
      </c>
    </row>
    <row r="33" spans="1:21" x14ac:dyDescent="0.2">
      <c r="A33" s="1" t="str">
        <f t="shared" ref="A33:A55" si="3">CONCATENATE(B33,C33)</f>
        <v>20196</v>
      </c>
      <c r="B33" s="1">
        <f t="shared" ref="B33:B55" si="4">YEAR(D33)</f>
        <v>2019</v>
      </c>
      <c r="C33" s="1">
        <f t="shared" ref="C33:C36" si="5">MONTH(D33)</f>
        <v>6</v>
      </c>
      <c r="D33" s="9">
        <v>43617</v>
      </c>
      <c r="E33" s="99">
        <v>85.594099999999997</v>
      </c>
      <c r="F33" s="99">
        <v>83.733729999999994</v>
      </c>
      <c r="G33" s="99">
        <v>76.787040000000005</v>
      </c>
      <c r="H33" s="99">
        <v>87.939220000000006</v>
      </c>
      <c r="I33" s="99">
        <v>90.249750000000006</v>
      </c>
      <c r="J33" s="99">
        <v>102.84231</v>
      </c>
      <c r="K33" s="99" t="s">
        <v>40</v>
      </c>
      <c r="L33" s="99">
        <v>90.494969999999995</v>
      </c>
      <c r="M33" s="99">
        <v>76.202119999999994</v>
      </c>
      <c r="N33" s="99">
        <v>53.410670000000003</v>
      </c>
      <c r="O33" s="99">
        <v>99.825649999999996</v>
      </c>
      <c r="P33" s="99">
        <v>73.811199999999999</v>
      </c>
      <c r="Q33" s="99">
        <v>92.799610000000001</v>
      </c>
      <c r="R33" s="99">
        <v>65.88946</v>
      </c>
      <c r="S33" s="99">
        <v>92.42577</v>
      </c>
      <c r="T33" s="99">
        <v>26.002359999999999</v>
      </c>
      <c r="U33" s="99">
        <v>113.00008</v>
      </c>
    </row>
    <row r="34" spans="1:21" x14ac:dyDescent="0.2">
      <c r="A34" s="1" t="str">
        <f t="shared" si="3"/>
        <v>20197</v>
      </c>
      <c r="B34" s="1">
        <f t="shared" si="4"/>
        <v>2019</v>
      </c>
      <c r="C34" s="1">
        <f t="shared" si="5"/>
        <v>7</v>
      </c>
      <c r="D34" s="9">
        <v>43647</v>
      </c>
      <c r="E34" s="99">
        <v>92.059610000000006</v>
      </c>
      <c r="F34" s="99">
        <v>95.972849999999994</v>
      </c>
      <c r="G34" s="99">
        <v>90.865939999999995</v>
      </c>
      <c r="H34" s="99">
        <v>99.064549999999997</v>
      </c>
      <c r="I34" s="99">
        <v>119.24406</v>
      </c>
      <c r="J34" s="99">
        <v>103.33659</v>
      </c>
      <c r="K34" s="99" t="s">
        <v>40</v>
      </c>
      <c r="L34" s="99">
        <v>102.40694999999999</v>
      </c>
      <c r="M34" s="99">
        <v>99.295069999999996</v>
      </c>
      <c r="N34" s="99">
        <v>56.192819999999998</v>
      </c>
      <c r="O34" s="99">
        <v>107.29224000000001</v>
      </c>
      <c r="P34" s="99">
        <v>80.025049999999993</v>
      </c>
      <c r="Q34" s="99">
        <v>92.895139999999998</v>
      </c>
      <c r="R34" s="99">
        <v>73.002759999999995</v>
      </c>
      <c r="S34" s="99">
        <v>117.34596000000001</v>
      </c>
      <c r="T34" s="99">
        <v>39.157260000000001</v>
      </c>
      <c r="U34" s="99">
        <v>120.32599999999999</v>
      </c>
    </row>
    <row r="35" spans="1:21" x14ac:dyDescent="0.2">
      <c r="A35" s="1" t="str">
        <f t="shared" si="3"/>
        <v>20198</v>
      </c>
      <c r="B35" s="1">
        <f>YEAR(D35)</f>
        <v>2019</v>
      </c>
      <c r="C35" s="1">
        <f>MONTH(D35)</f>
        <v>8</v>
      </c>
      <c r="D35" s="9">
        <v>43678</v>
      </c>
      <c r="E35" s="101">
        <v>92.793400000000005</v>
      </c>
      <c r="F35" s="101">
        <v>95.893140000000002</v>
      </c>
      <c r="G35" s="101">
        <v>98.248769999999993</v>
      </c>
      <c r="H35" s="101">
        <v>94.46705</v>
      </c>
      <c r="I35" s="101">
        <v>116.93844</v>
      </c>
      <c r="J35" s="101">
        <v>101.04523</v>
      </c>
      <c r="K35" s="103" t="s">
        <v>40</v>
      </c>
      <c r="L35" s="101">
        <v>94.853679999999997</v>
      </c>
      <c r="M35" s="101">
        <v>114.38311</v>
      </c>
      <c r="N35" s="101">
        <v>55.259650000000001</v>
      </c>
      <c r="O35" s="101">
        <v>108.81045</v>
      </c>
      <c r="P35" s="101">
        <v>83.654340000000005</v>
      </c>
      <c r="Q35" s="101">
        <v>82.564359999999994</v>
      </c>
      <c r="R35" s="101">
        <v>73.058880000000002</v>
      </c>
      <c r="S35" s="101">
        <v>108.51183</v>
      </c>
      <c r="T35" s="101">
        <v>43.475299999999997</v>
      </c>
      <c r="U35" s="101">
        <v>112.94869</v>
      </c>
    </row>
    <row r="36" spans="1:21" x14ac:dyDescent="0.2">
      <c r="A36" s="1" t="str">
        <f t="shared" si="3"/>
        <v>20199</v>
      </c>
      <c r="B36" s="1">
        <f t="shared" si="4"/>
        <v>2019</v>
      </c>
      <c r="C36" s="1">
        <f t="shared" si="5"/>
        <v>9</v>
      </c>
      <c r="D36" s="9">
        <v>43709</v>
      </c>
      <c r="E36" s="101">
        <v>93.197929999999999</v>
      </c>
      <c r="F36" s="101">
        <v>94.208579999999998</v>
      </c>
      <c r="G36" s="101">
        <v>92.395200000000003</v>
      </c>
      <c r="H36" s="101">
        <v>95.306389999999993</v>
      </c>
      <c r="I36" s="101">
        <v>132.08047999999999</v>
      </c>
      <c r="J36" s="101">
        <v>106.06802999999999</v>
      </c>
      <c r="K36" s="103" t="s">
        <v>40</v>
      </c>
      <c r="L36" s="101">
        <v>94.321389999999994</v>
      </c>
      <c r="M36" s="101">
        <v>125.47497</v>
      </c>
      <c r="N36" s="101">
        <v>54.103009999999998</v>
      </c>
      <c r="O36" s="101">
        <v>104.42903</v>
      </c>
      <c r="P36" s="101">
        <v>76.485200000000006</v>
      </c>
      <c r="Q36" s="101">
        <v>90.017290000000003</v>
      </c>
      <c r="R36" s="101">
        <v>69.812299999999993</v>
      </c>
      <c r="S36" s="101">
        <v>104.10234</v>
      </c>
      <c r="T36" s="101">
        <v>41.3992</v>
      </c>
      <c r="U36" s="101">
        <v>109.36259</v>
      </c>
    </row>
    <row r="37" spans="1:21" x14ac:dyDescent="0.2">
      <c r="A37" s="1" t="str">
        <f t="shared" ref="A37:A40" si="6">CONCATENATE(B37,C37)</f>
        <v>201910</v>
      </c>
      <c r="B37" s="1">
        <f t="shared" ref="B37:B40" si="7">YEAR(D37)</f>
        <v>2019</v>
      </c>
      <c r="C37" s="1">
        <f t="shared" ref="C37:C55" si="8">MONTH(D37)</f>
        <v>10</v>
      </c>
      <c r="D37" s="9">
        <v>43739</v>
      </c>
      <c r="E37" s="102">
        <v>95.217479999999995</v>
      </c>
      <c r="F37" s="102">
        <v>100.82134000000001</v>
      </c>
      <c r="G37" s="102">
        <v>96.193039999999996</v>
      </c>
      <c r="H37" s="102">
        <v>103.62327999999999</v>
      </c>
      <c r="I37" s="102">
        <v>154.12215</v>
      </c>
      <c r="J37" s="102">
        <v>123.40600000000001</v>
      </c>
      <c r="K37" s="110" t="s">
        <v>40</v>
      </c>
      <c r="L37" s="102">
        <v>106.62730000000001</v>
      </c>
      <c r="M37" s="102">
        <v>107.24863000000001</v>
      </c>
      <c r="N37" s="102">
        <v>54.661850000000001</v>
      </c>
      <c r="O37" s="102">
        <v>105.97745</v>
      </c>
      <c r="P37" s="102">
        <v>84.374120000000005</v>
      </c>
      <c r="Q37" s="102">
        <v>90.68526</v>
      </c>
      <c r="R37" s="102">
        <v>73.994420000000005</v>
      </c>
      <c r="S37" s="102">
        <v>120.09043</v>
      </c>
      <c r="T37" s="102">
        <v>45.795670000000001</v>
      </c>
      <c r="U37" s="102">
        <v>120.17358</v>
      </c>
    </row>
    <row r="38" spans="1:21" x14ac:dyDescent="0.2">
      <c r="A38" s="1" t="str">
        <f t="shared" si="6"/>
        <v>201911</v>
      </c>
      <c r="B38" s="1">
        <f t="shared" si="7"/>
        <v>2019</v>
      </c>
      <c r="C38" s="1">
        <f t="shared" si="8"/>
        <v>11</v>
      </c>
      <c r="D38" s="9">
        <v>43770</v>
      </c>
      <c r="E38" s="103">
        <v>98.97963</v>
      </c>
      <c r="F38" s="104">
        <v>100.32368</v>
      </c>
      <c r="G38" s="104">
        <v>100.17615000000001</v>
      </c>
      <c r="H38" s="104">
        <v>100.41298999999999</v>
      </c>
      <c r="I38" s="104">
        <v>130.10731999999999</v>
      </c>
      <c r="J38" s="104">
        <v>126.47387000000001</v>
      </c>
      <c r="K38" s="111" t="s">
        <v>40</v>
      </c>
      <c r="L38" s="104">
        <v>110.38178000000001</v>
      </c>
      <c r="M38" s="104">
        <v>95.625230000000002</v>
      </c>
      <c r="N38" s="104">
        <v>55.74879</v>
      </c>
      <c r="O38" s="104">
        <v>101.2016</v>
      </c>
      <c r="P38" s="104">
        <v>81.721670000000003</v>
      </c>
      <c r="Q38" s="104">
        <v>100.91152</v>
      </c>
      <c r="R38" s="104">
        <v>70.127840000000006</v>
      </c>
      <c r="S38" s="104">
        <v>86.366780000000006</v>
      </c>
      <c r="T38" s="104">
        <v>41.10745</v>
      </c>
      <c r="U38" s="104">
        <v>110.55489</v>
      </c>
    </row>
    <row r="39" spans="1:21" x14ac:dyDescent="0.2">
      <c r="A39" s="1" t="str">
        <f t="shared" si="6"/>
        <v>201912</v>
      </c>
      <c r="B39" s="1">
        <f t="shared" si="7"/>
        <v>2019</v>
      </c>
      <c r="C39" s="1">
        <f t="shared" si="8"/>
        <v>12</v>
      </c>
      <c r="D39" s="9">
        <v>43800</v>
      </c>
      <c r="E39" s="99">
        <v>94.763660000000002</v>
      </c>
      <c r="F39" s="105">
        <v>94.975970000000004</v>
      </c>
      <c r="G39" s="105">
        <v>104.93067000000001</v>
      </c>
      <c r="H39" s="105">
        <v>88.949449999999999</v>
      </c>
      <c r="I39" s="105">
        <v>99.189480000000003</v>
      </c>
      <c r="J39" s="105">
        <v>144.77961999999999</v>
      </c>
      <c r="K39" s="112" t="s">
        <v>40</v>
      </c>
      <c r="L39" s="105">
        <v>98.552070000000001</v>
      </c>
      <c r="M39" s="105">
        <v>68.250299999999996</v>
      </c>
      <c r="N39" s="105">
        <v>53.302300000000002</v>
      </c>
      <c r="O39" s="105">
        <v>74.666300000000007</v>
      </c>
      <c r="P39" s="105">
        <v>78.545529999999999</v>
      </c>
      <c r="Q39" s="105">
        <v>103.12864</v>
      </c>
      <c r="R39" s="105">
        <v>63.210459999999998</v>
      </c>
      <c r="S39" s="105">
        <v>55.877699999999997</v>
      </c>
      <c r="T39" s="106">
        <v>30.75311</v>
      </c>
      <c r="U39" s="105">
        <v>101.36096000000001</v>
      </c>
    </row>
    <row r="40" spans="1:21" x14ac:dyDescent="0.2">
      <c r="A40" s="1" t="str">
        <f t="shared" si="6"/>
        <v>20201</v>
      </c>
      <c r="B40" s="1">
        <f t="shared" si="7"/>
        <v>2020</v>
      </c>
      <c r="C40" s="1">
        <f t="shared" si="8"/>
        <v>1</v>
      </c>
      <c r="D40" s="9">
        <v>43831</v>
      </c>
      <c r="E40" s="98">
        <v>97.704549999999998</v>
      </c>
      <c r="F40" s="101">
        <v>98.953530000000001</v>
      </c>
      <c r="G40" s="101">
        <v>103.89245</v>
      </c>
      <c r="H40" s="101">
        <v>95.963549999999998</v>
      </c>
      <c r="I40" s="101">
        <v>95.671360000000007</v>
      </c>
      <c r="J40" s="101">
        <v>130.10747000000001</v>
      </c>
      <c r="K40" s="103" t="s">
        <v>40</v>
      </c>
      <c r="L40" s="101">
        <v>99.489949999999993</v>
      </c>
      <c r="M40" s="101">
        <v>85.051460000000006</v>
      </c>
      <c r="N40" s="101">
        <v>57.20035</v>
      </c>
      <c r="O40" s="101">
        <v>91.227109999999996</v>
      </c>
      <c r="P40" s="101">
        <v>73.738560000000007</v>
      </c>
      <c r="Q40" s="101">
        <v>104.87067999999999</v>
      </c>
      <c r="R40" s="101">
        <v>68.520809999999997</v>
      </c>
      <c r="S40" s="101">
        <v>106.38461</v>
      </c>
      <c r="T40" s="101">
        <v>31.582750000000001</v>
      </c>
      <c r="U40" s="101">
        <v>109.18693</v>
      </c>
    </row>
    <row r="41" spans="1:21" x14ac:dyDescent="0.2">
      <c r="A41" s="1" t="str">
        <f t="shared" si="3"/>
        <v>20202</v>
      </c>
      <c r="B41" s="1">
        <f t="shared" si="4"/>
        <v>2020</v>
      </c>
      <c r="C41" s="1">
        <f t="shared" si="8"/>
        <v>2</v>
      </c>
      <c r="D41" s="9">
        <v>43862</v>
      </c>
      <c r="E41" s="101">
        <v>98.118409999999997</v>
      </c>
      <c r="F41" s="101">
        <v>90.528170000000003</v>
      </c>
      <c r="G41" s="101">
        <v>89.064269999999993</v>
      </c>
      <c r="H41" s="101">
        <v>91.414410000000004</v>
      </c>
      <c r="I41" s="101">
        <v>86.091489999999993</v>
      </c>
      <c r="J41" s="101">
        <v>113.32207</v>
      </c>
      <c r="K41" s="103" t="s">
        <v>40</v>
      </c>
      <c r="L41" s="101">
        <v>96.403859999999995</v>
      </c>
      <c r="M41" s="101">
        <v>76.771990000000002</v>
      </c>
      <c r="N41" s="101">
        <v>52.321350000000002</v>
      </c>
      <c r="O41" s="101">
        <v>90.814989999999995</v>
      </c>
      <c r="P41" s="101">
        <v>68.791470000000004</v>
      </c>
      <c r="Q41" s="101">
        <v>103.82532999999999</v>
      </c>
      <c r="R41" s="101">
        <v>63.75206</v>
      </c>
      <c r="S41" s="101">
        <v>98.007109999999997</v>
      </c>
      <c r="T41" s="101">
        <v>29.313410000000001</v>
      </c>
      <c r="U41" s="101">
        <v>109.45502</v>
      </c>
    </row>
    <row r="42" spans="1:21" x14ac:dyDescent="0.2">
      <c r="A42" s="1" t="str">
        <f t="shared" si="3"/>
        <v>20203</v>
      </c>
      <c r="B42" s="1">
        <f t="shared" si="4"/>
        <v>2020</v>
      </c>
      <c r="C42" s="1">
        <f t="shared" si="8"/>
        <v>3</v>
      </c>
      <c r="D42" s="9">
        <v>43891</v>
      </c>
      <c r="E42" s="101">
        <v>96.828220000000002</v>
      </c>
      <c r="F42" s="101">
        <v>95.077430000000007</v>
      </c>
      <c r="G42" s="101">
        <v>96.725189999999998</v>
      </c>
      <c r="H42" s="101">
        <v>94.079880000000003</v>
      </c>
      <c r="I42" s="101">
        <v>93.892859999999999</v>
      </c>
      <c r="J42" s="101">
        <v>97.181520000000006</v>
      </c>
      <c r="K42" s="103" t="s">
        <v>40</v>
      </c>
      <c r="L42" s="101">
        <v>99.734440000000006</v>
      </c>
      <c r="M42" s="101">
        <v>87.225790000000003</v>
      </c>
      <c r="N42" s="101">
        <v>68.9011</v>
      </c>
      <c r="O42" s="101">
        <v>96.887209999999996</v>
      </c>
      <c r="P42" s="101">
        <v>67.576779999999999</v>
      </c>
      <c r="Q42" s="101">
        <v>114.3695</v>
      </c>
      <c r="R42" s="101">
        <v>64.696920000000006</v>
      </c>
      <c r="S42" s="101">
        <v>82.645780000000002</v>
      </c>
      <c r="T42" s="101">
        <v>42.247039999999998</v>
      </c>
      <c r="U42" s="101">
        <v>112.414</v>
      </c>
    </row>
    <row r="43" spans="1:21" x14ac:dyDescent="0.2">
      <c r="A43" s="1" t="str">
        <f t="shared" si="3"/>
        <v>20204</v>
      </c>
      <c r="B43" s="1">
        <f t="shared" si="4"/>
        <v>2020</v>
      </c>
      <c r="C43" s="1">
        <f t="shared" si="8"/>
        <v>4</v>
      </c>
      <c r="D43" s="9">
        <v>43922</v>
      </c>
      <c r="E43" s="101">
        <v>84.435419999999993</v>
      </c>
      <c r="F43" s="101">
        <v>79.328119999999998</v>
      </c>
      <c r="G43" s="101">
        <v>97.274240000000006</v>
      </c>
      <c r="H43" s="101">
        <v>68.463650000000001</v>
      </c>
      <c r="I43" s="101">
        <v>82.066739999999996</v>
      </c>
      <c r="J43" s="101">
        <v>50.72099</v>
      </c>
      <c r="K43" s="103" t="s">
        <v>40</v>
      </c>
      <c r="L43" s="101">
        <v>83.552549999999997</v>
      </c>
      <c r="M43" s="101">
        <v>76.128910000000005</v>
      </c>
      <c r="N43" s="101">
        <v>68.964460000000003</v>
      </c>
      <c r="O43" s="101">
        <v>59.188519999999997</v>
      </c>
      <c r="P43" s="101">
        <v>57.216209999999997</v>
      </c>
      <c r="Q43" s="101">
        <v>76.751689999999996</v>
      </c>
      <c r="R43" s="101">
        <v>46.871810000000004</v>
      </c>
      <c r="S43" s="101">
        <v>4.0159500000000001</v>
      </c>
      <c r="T43" s="101">
        <v>29.305040000000002</v>
      </c>
      <c r="U43" s="101">
        <v>93.286109999999994</v>
      </c>
    </row>
    <row r="44" spans="1:21" x14ac:dyDescent="0.2">
      <c r="A44" s="1" t="str">
        <f t="shared" si="3"/>
        <v>20205</v>
      </c>
      <c r="B44" s="1">
        <f t="shared" si="4"/>
        <v>2020</v>
      </c>
      <c r="C44" s="1">
        <f t="shared" si="8"/>
        <v>5</v>
      </c>
      <c r="D44" s="9">
        <v>43952</v>
      </c>
      <c r="E44" s="101">
        <v>85.087590000000006</v>
      </c>
      <c r="F44" s="101">
        <v>84.406440000000003</v>
      </c>
      <c r="G44" s="107">
        <v>90.688280000000006</v>
      </c>
      <c r="H44" s="107">
        <v>80.603459999999998</v>
      </c>
      <c r="I44" s="107">
        <v>78.762370000000004</v>
      </c>
      <c r="J44" s="107">
        <v>121.95819</v>
      </c>
      <c r="K44" s="113" t="s">
        <v>40</v>
      </c>
      <c r="L44" s="107">
        <v>95.751009999999994</v>
      </c>
      <c r="M44" s="107">
        <v>76.882689999999997</v>
      </c>
      <c r="N44" s="107">
        <v>78.481809999999996</v>
      </c>
      <c r="O44" s="107">
        <v>48.69388</v>
      </c>
      <c r="P44" s="107">
        <v>68.482730000000004</v>
      </c>
      <c r="Q44" s="107">
        <v>87.770229999999998</v>
      </c>
      <c r="R44" s="107">
        <v>53.307850000000002</v>
      </c>
      <c r="S44" s="107">
        <v>22.238050000000001</v>
      </c>
      <c r="T44" s="107">
        <v>34.765810000000002</v>
      </c>
      <c r="U44" s="107">
        <v>94.495570000000001</v>
      </c>
    </row>
    <row r="45" spans="1:21" x14ac:dyDescent="0.2">
      <c r="A45" s="1" t="str">
        <f t="shared" si="3"/>
        <v>20206</v>
      </c>
      <c r="B45" s="1">
        <f t="shared" si="4"/>
        <v>2020</v>
      </c>
      <c r="C45" s="1">
        <f t="shared" si="8"/>
        <v>6</v>
      </c>
      <c r="D45" s="9">
        <v>43983</v>
      </c>
      <c r="E45" s="101">
        <v>86.153769999999994</v>
      </c>
      <c r="F45" s="107">
        <v>84.205070000000006</v>
      </c>
      <c r="G45" s="107">
        <v>98.154030000000006</v>
      </c>
      <c r="H45" s="107">
        <v>75.760450000000006</v>
      </c>
      <c r="I45" s="107">
        <v>99.42868</v>
      </c>
      <c r="J45" s="107">
        <v>116.89098</v>
      </c>
      <c r="K45" s="113" t="s">
        <v>40</v>
      </c>
      <c r="L45" s="107">
        <v>75.234229999999997</v>
      </c>
      <c r="M45" s="107">
        <v>90.937709999999996</v>
      </c>
      <c r="N45" s="107">
        <v>74.924120000000002</v>
      </c>
      <c r="O45" s="107">
        <v>74.974360000000004</v>
      </c>
      <c r="P45" s="107">
        <v>70.604349999999997</v>
      </c>
      <c r="Q45" s="107">
        <v>82.769859999999994</v>
      </c>
      <c r="R45" s="107">
        <v>63.63597</v>
      </c>
      <c r="S45" s="107">
        <v>32.507420000000003</v>
      </c>
      <c r="T45" s="107">
        <v>36.492440000000002</v>
      </c>
      <c r="U45" s="107">
        <v>92.735290000000006</v>
      </c>
    </row>
    <row r="46" spans="1:21" x14ac:dyDescent="0.2">
      <c r="A46" s="1" t="str">
        <f t="shared" si="3"/>
        <v>20207</v>
      </c>
      <c r="B46" s="1">
        <f t="shared" si="4"/>
        <v>2020</v>
      </c>
      <c r="C46" s="1">
        <f t="shared" si="8"/>
        <v>7</v>
      </c>
      <c r="D46" s="9">
        <v>44013</v>
      </c>
      <c r="E46" s="101">
        <v>93.321479999999994</v>
      </c>
      <c r="F46" s="107">
        <v>97.444249999999997</v>
      </c>
      <c r="G46" s="107">
        <v>109.55964</v>
      </c>
      <c r="H46" s="107">
        <v>90.109660000000005</v>
      </c>
      <c r="I46" s="107">
        <v>104.86695</v>
      </c>
      <c r="J46" s="107">
        <v>114.20614999999999</v>
      </c>
      <c r="K46" s="113" t="s">
        <v>40</v>
      </c>
      <c r="L46" s="107">
        <v>86.328990000000005</v>
      </c>
      <c r="M46" s="107">
        <v>110.52843</v>
      </c>
      <c r="N46" s="107">
        <v>82.511849999999995</v>
      </c>
      <c r="O46" s="107">
        <v>107.79597</v>
      </c>
      <c r="P46" s="107">
        <v>86.552040000000005</v>
      </c>
      <c r="Q46" s="107">
        <v>95.576980000000006</v>
      </c>
      <c r="R46" s="107">
        <v>79.062950000000001</v>
      </c>
      <c r="S46" s="107">
        <v>71.626429999999999</v>
      </c>
      <c r="T46" s="107">
        <v>38.586730000000003</v>
      </c>
      <c r="U46" s="107">
        <v>101.46653999999999</v>
      </c>
    </row>
    <row r="47" spans="1:21" x14ac:dyDescent="0.2">
      <c r="A47" s="1" t="str">
        <f t="shared" si="3"/>
        <v>20208</v>
      </c>
      <c r="B47" s="1">
        <f t="shared" si="4"/>
        <v>2020</v>
      </c>
      <c r="C47" s="1">
        <f t="shared" si="8"/>
        <v>8</v>
      </c>
      <c r="D47" s="9">
        <v>44044</v>
      </c>
      <c r="E47" s="101">
        <v>96.627269999999996</v>
      </c>
      <c r="F47" s="107">
        <v>100.32905</v>
      </c>
      <c r="G47" s="107">
        <v>109.20714</v>
      </c>
      <c r="H47" s="107">
        <v>94.954310000000007</v>
      </c>
      <c r="I47" s="107">
        <v>105.10911</v>
      </c>
      <c r="J47" s="107">
        <v>110.59926</v>
      </c>
      <c r="K47" s="113" t="s">
        <v>40</v>
      </c>
      <c r="L47" s="107">
        <v>98.271050000000002</v>
      </c>
      <c r="M47" s="107">
        <v>100.94329</v>
      </c>
      <c r="N47" s="107">
        <v>66.264439999999993</v>
      </c>
      <c r="O47" s="107">
        <v>109.03655999999999</v>
      </c>
      <c r="P47" s="107">
        <v>87.533799999999999</v>
      </c>
      <c r="Q47" s="107">
        <v>104.49524</v>
      </c>
      <c r="R47" s="107">
        <v>83.990390000000005</v>
      </c>
      <c r="S47" s="107">
        <v>81.298019999999994</v>
      </c>
      <c r="T47" s="108">
        <v>34.145299999999999</v>
      </c>
      <c r="U47" s="107">
        <v>94.175420000000003</v>
      </c>
    </row>
    <row r="48" spans="1:21" x14ac:dyDescent="0.2">
      <c r="A48" s="1" t="str">
        <f t="shared" si="3"/>
        <v>20209</v>
      </c>
      <c r="B48" s="1">
        <f t="shared" si="4"/>
        <v>2020</v>
      </c>
      <c r="C48" s="1">
        <f t="shared" si="8"/>
        <v>9</v>
      </c>
      <c r="D48" s="9">
        <v>44075</v>
      </c>
      <c r="E48" s="101">
        <v>93.041629999999998</v>
      </c>
      <c r="F48" s="101">
        <v>94.64179</v>
      </c>
      <c r="G48" s="101">
        <v>100.51927000000001</v>
      </c>
      <c r="H48" s="101">
        <v>91.083600000000004</v>
      </c>
      <c r="I48" s="101">
        <v>105.38703</v>
      </c>
      <c r="J48" s="101">
        <v>106.38598</v>
      </c>
      <c r="K48" s="103" t="s">
        <v>40</v>
      </c>
      <c r="L48" s="101">
        <v>88.959029999999998</v>
      </c>
      <c r="M48" s="101">
        <v>96.839169999999996</v>
      </c>
      <c r="N48" s="101">
        <v>59.814149999999998</v>
      </c>
      <c r="O48" s="101">
        <v>115.39413999999999</v>
      </c>
      <c r="P48" s="101">
        <v>87.086579999999998</v>
      </c>
      <c r="Q48" s="101">
        <v>101.68465</v>
      </c>
      <c r="R48" s="101">
        <v>77.177419999999998</v>
      </c>
      <c r="S48" s="101">
        <v>89.670169999999999</v>
      </c>
      <c r="T48" s="102">
        <v>35.520789999999998</v>
      </c>
      <c r="U48" s="101">
        <v>96.911439999999999</v>
      </c>
    </row>
    <row r="49" spans="1:21" x14ac:dyDescent="0.2">
      <c r="A49" s="1" t="str">
        <f t="shared" si="3"/>
        <v>202010</v>
      </c>
      <c r="B49" s="1">
        <f t="shared" si="4"/>
        <v>2020</v>
      </c>
      <c r="C49" s="1">
        <f t="shared" si="8"/>
        <v>10</v>
      </c>
      <c r="D49" s="9">
        <v>44105</v>
      </c>
      <c r="E49" s="101">
        <v>89.63879</v>
      </c>
      <c r="F49" s="101">
        <v>95.178640000000001</v>
      </c>
      <c r="G49" s="101">
        <v>101.32116000000001</v>
      </c>
      <c r="H49" s="101">
        <v>91.459980000000002</v>
      </c>
      <c r="I49" s="101">
        <v>119.62220000000001</v>
      </c>
      <c r="J49" s="101">
        <v>119.45216000000001</v>
      </c>
      <c r="K49" s="103" t="s">
        <v>40</v>
      </c>
      <c r="L49" s="101">
        <v>78.301069999999996</v>
      </c>
      <c r="M49" s="101">
        <v>110.64234999999999</v>
      </c>
      <c r="N49" s="101">
        <v>70.570970000000003</v>
      </c>
      <c r="O49" s="101">
        <v>117.77487000000001</v>
      </c>
      <c r="P49" s="101">
        <v>94.777339999999995</v>
      </c>
      <c r="Q49" s="101">
        <v>104.66949</v>
      </c>
      <c r="R49" s="101">
        <v>95.404769999999999</v>
      </c>
      <c r="S49" s="101">
        <v>93.597130000000007</v>
      </c>
      <c r="T49" s="102">
        <v>34.557510000000001</v>
      </c>
      <c r="U49" s="101">
        <v>96.182770000000005</v>
      </c>
    </row>
    <row r="50" spans="1:21" x14ac:dyDescent="0.2">
      <c r="A50" s="1" t="str">
        <f t="shared" si="3"/>
        <v>202011</v>
      </c>
      <c r="B50" s="1">
        <f t="shared" si="4"/>
        <v>2020</v>
      </c>
      <c r="C50" s="1">
        <f t="shared" si="8"/>
        <v>11</v>
      </c>
      <c r="D50" s="9">
        <v>44136</v>
      </c>
      <c r="E50" s="101">
        <v>90.593969999999999</v>
      </c>
      <c r="F50" s="101">
        <v>91.682249999999996</v>
      </c>
      <c r="G50" s="101">
        <v>87.377650000000003</v>
      </c>
      <c r="H50" s="101">
        <v>94.288229999999999</v>
      </c>
      <c r="I50" s="101">
        <v>118.47532</v>
      </c>
      <c r="J50" s="101">
        <v>118.95187</v>
      </c>
      <c r="K50" s="103" t="s">
        <v>40</v>
      </c>
      <c r="L50" s="101">
        <v>93.051090000000002</v>
      </c>
      <c r="M50" s="101">
        <v>101.84097</v>
      </c>
      <c r="N50" s="101">
        <v>73.506519999999995</v>
      </c>
      <c r="O50" s="101">
        <v>107.04217</v>
      </c>
      <c r="P50" s="101">
        <v>88.64631</v>
      </c>
      <c r="Q50" s="101">
        <v>96.460300000000004</v>
      </c>
      <c r="R50" s="101">
        <v>90.676180000000002</v>
      </c>
      <c r="S50" s="101">
        <v>88.629670000000004</v>
      </c>
      <c r="T50" s="102">
        <v>31.129760000000001</v>
      </c>
      <c r="U50" s="101">
        <v>90.283720000000002</v>
      </c>
    </row>
    <row r="51" spans="1:21" x14ac:dyDescent="0.2">
      <c r="A51" s="1" t="str">
        <f t="shared" si="3"/>
        <v>202012</v>
      </c>
      <c r="B51" s="1">
        <f t="shared" si="4"/>
        <v>2020</v>
      </c>
      <c r="C51" s="1">
        <f t="shared" si="8"/>
        <v>12</v>
      </c>
      <c r="D51" s="9">
        <v>44166</v>
      </c>
      <c r="E51" s="109">
        <v>91.140159999999995</v>
      </c>
      <c r="F51" s="105">
        <v>91.136989999999997</v>
      </c>
      <c r="G51" s="105">
        <v>91.686189999999996</v>
      </c>
      <c r="H51" s="105">
        <v>90.804519999999997</v>
      </c>
      <c r="I51" s="105">
        <v>85.32244</v>
      </c>
      <c r="J51" s="105">
        <v>125.58932</v>
      </c>
      <c r="K51" s="112" t="s">
        <v>40</v>
      </c>
      <c r="L51" s="105">
        <v>95.012540000000001</v>
      </c>
      <c r="M51" s="105">
        <v>72.395619999999994</v>
      </c>
      <c r="N51" s="105">
        <v>57.131439999999998</v>
      </c>
      <c r="O51" s="105">
        <v>99.068420000000003</v>
      </c>
      <c r="P51" s="105">
        <v>76.138009999999994</v>
      </c>
      <c r="Q51" s="105">
        <v>110.84350000000001</v>
      </c>
      <c r="R51" s="105">
        <v>89.72175</v>
      </c>
      <c r="S51" s="105">
        <v>75.032849999999996</v>
      </c>
      <c r="T51" s="106">
        <v>26.61722</v>
      </c>
      <c r="U51" s="105">
        <v>90.828980000000001</v>
      </c>
    </row>
    <row r="52" spans="1:21" x14ac:dyDescent="0.2">
      <c r="A52" s="1" t="str">
        <f t="shared" si="3"/>
        <v>20211</v>
      </c>
      <c r="B52" s="1">
        <f t="shared" si="4"/>
        <v>2021</v>
      </c>
      <c r="C52" s="1">
        <f t="shared" si="8"/>
        <v>1</v>
      </c>
      <c r="D52" s="9">
        <v>44197</v>
      </c>
      <c r="E52" s="101">
        <v>93.054580000000001</v>
      </c>
      <c r="F52" s="101">
        <v>94.081829999999997</v>
      </c>
      <c r="G52" s="101">
        <v>97.343980000000002</v>
      </c>
      <c r="H52" s="101">
        <v>92.106939999999994</v>
      </c>
      <c r="I52" s="101">
        <v>101.11375</v>
      </c>
      <c r="J52" s="101">
        <v>109.17161</v>
      </c>
      <c r="K52" s="103" t="s">
        <v>40</v>
      </c>
      <c r="L52" s="101">
        <v>91.22466</v>
      </c>
      <c r="M52" s="101">
        <v>83.527140000000003</v>
      </c>
      <c r="N52" s="101">
        <v>71.812269999999998</v>
      </c>
      <c r="O52" s="101">
        <v>108.88976</v>
      </c>
      <c r="P52" s="101">
        <v>90.212090000000003</v>
      </c>
      <c r="Q52" s="101">
        <v>104.7953</v>
      </c>
      <c r="R52" s="101">
        <v>87.262420000000006</v>
      </c>
      <c r="S52" s="101">
        <v>87.313149999999993</v>
      </c>
      <c r="T52" s="102">
        <v>26.733499999999999</v>
      </c>
      <c r="U52" s="101">
        <v>90.714290000000005</v>
      </c>
    </row>
    <row r="53" spans="1:21" x14ac:dyDescent="0.2">
      <c r="A53" s="1" t="str">
        <f t="shared" si="3"/>
        <v>20212</v>
      </c>
      <c r="B53" s="1">
        <f t="shared" si="4"/>
        <v>2021</v>
      </c>
      <c r="C53" s="1">
        <f t="shared" si="8"/>
        <v>2</v>
      </c>
      <c r="D53" s="9">
        <v>44228</v>
      </c>
      <c r="E53" s="101">
        <v>95.078130000000002</v>
      </c>
      <c r="F53" s="101">
        <v>87.152100000000004</v>
      </c>
      <c r="G53" s="101">
        <v>86.473389999999995</v>
      </c>
      <c r="H53" s="101">
        <v>87.562989999999999</v>
      </c>
      <c r="I53" s="101">
        <v>84.462000000000003</v>
      </c>
      <c r="J53" s="101">
        <v>99.296090000000007</v>
      </c>
      <c r="K53" s="103" t="s">
        <v>40</v>
      </c>
      <c r="L53" s="101">
        <v>82.673649999999995</v>
      </c>
      <c r="M53" s="101">
        <v>84.648399999999995</v>
      </c>
      <c r="N53" s="101">
        <v>68.203389999999999</v>
      </c>
      <c r="O53" s="101">
        <v>96.247110000000006</v>
      </c>
      <c r="P53" s="101">
        <v>85.050330000000002</v>
      </c>
      <c r="Q53" s="101">
        <v>109.90343</v>
      </c>
      <c r="R53" s="101">
        <v>83.024109999999993</v>
      </c>
      <c r="S53" s="101">
        <v>92.112769999999998</v>
      </c>
      <c r="T53" s="102">
        <v>26.135999999999999</v>
      </c>
      <c r="U53" s="101">
        <v>90.493369999999999</v>
      </c>
    </row>
    <row r="54" spans="1:21" x14ac:dyDescent="0.2">
      <c r="A54" s="1" t="str">
        <f t="shared" si="3"/>
        <v>20213</v>
      </c>
      <c r="B54" s="1">
        <f t="shared" si="4"/>
        <v>2021</v>
      </c>
      <c r="C54" s="1">
        <f t="shared" si="8"/>
        <v>3</v>
      </c>
      <c r="D54" s="9">
        <v>44256</v>
      </c>
      <c r="E54" s="101">
        <v>92.008870000000002</v>
      </c>
      <c r="F54" s="101">
        <v>90.397660000000002</v>
      </c>
      <c r="G54" s="101">
        <v>95.417029999999997</v>
      </c>
      <c r="H54" s="101">
        <v>87.358959999999996</v>
      </c>
      <c r="I54" s="101">
        <v>92.983949999999993</v>
      </c>
      <c r="J54" s="101">
        <v>83.654039999999995</v>
      </c>
      <c r="K54" s="103" t="s">
        <v>40</v>
      </c>
      <c r="L54" s="101">
        <v>71.158649999999994</v>
      </c>
      <c r="M54" s="101">
        <v>89.006349999999998</v>
      </c>
      <c r="N54" s="101">
        <v>81.164100000000005</v>
      </c>
      <c r="O54" s="101">
        <v>111.03942000000001</v>
      </c>
      <c r="P54" s="101">
        <v>92.060559999999995</v>
      </c>
      <c r="Q54" s="101">
        <v>122.63106999999999</v>
      </c>
      <c r="R54" s="101">
        <v>94.897829999999999</v>
      </c>
      <c r="S54" s="101">
        <v>93.546019999999999</v>
      </c>
      <c r="T54" s="102">
        <v>40.638359999999999</v>
      </c>
      <c r="U54" s="101">
        <v>102.33439</v>
      </c>
    </row>
    <row r="55" spans="1:21" x14ac:dyDescent="0.2">
      <c r="A55" s="1" t="str">
        <f t="shared" si="3"/>
        <v>20214</v>
      </c>
      <c r="B55" s="1">
        <f t="shared" si="4"/>
        <v>2021</v>
      </c>
      <c r="C55" s="1">
        <f t="shared" si="8"/>
        <v>4</v>
      </c>
      <c r="D55" s="9">
        <v>44287</v>
      </c>
      <c r="E55" s="101">
        <v>92.690839999999994</v>
      </c>
      <c r="F55" s="101">
        <v>87.645960000000002</v>
      </c>
      <c r="G55" s="101">
        <v>96.449399999999997</v>
      </c>
      <c r="H55" s="101">
        <v>82.316410000000005</v>
      </c>
      <c r="I55" s="101">
        <v>85.130250000000004</v>
      </c>
      <c r="J55" s="101">
        <v>107.87138</v>
      </c>
      <c r="K55" s="103" t="s">
        <v>40</v>
      </c>
      <c r="L55" s="101">
        <v>63.147790000000001</v>
      </c>
      <c r="M55" s="101">
        <v>87.061890000000005</v>
      </c>
      <c r="N55" s="101">
        <v>61.726469999999999</v>
      </c>
      <c r="O55" s="101">
        <v>107.29386</v>
      </c>
      <c r="P55" s="101">
        <v>84.150999999999996</v>
      </c>
      <c r="Q55" s="101">
        <v>111.04877</v>
      </c>
      <c r="R55" s="101">
        <v>121.07367000000001</v>
      </c>
      <c r="S55" s="101">
        <v>90.847999999999999</v>
      </c>
      <c r="T55" s="102">
        <v>33.578960000000002</v>
      </c>
      <c r="U55" s="101">
        <v>95.194720000000004</v>
      </c>
    </row>
    <row r="56" spans="1:21" x14ac:dyDescent="0.2">
      <c r="A56" s="1" t="str">
        <f t="shared" ref="A56:A83" si="9">CONCATENATE(B56,C56)</f>
        <v>20215</v>
      </c>
      <c r="B56" s="1">
        <f t="shared" ref="B56:B83" si="10">YEAR(D56)</f>
        <v>2021</v>
      </c>
      <c r="C56" s="1">
        <f t="shared" ref="C56:C83" si="11">MONTH(D56)</f>
        <v>5</v>
      </c>
      <c r="D56" s="9">
        <v>44317</v>
      </c>
      <c r="E56" s="101">
        <v>98.648949999999999</v>
      </c>
      <c r="F56" s="101">
        <v>97.705609999999993</v>
      </c>
      <c r="G56" s="101">
        <v>98.484989999999996</v>
      </c>
      <c r="H56" s="101">
        <v>97.233770000000007</v>
      </c>
      <c r="I56" s="101">
        <v>97.442880000000002</v>
      </c>
      <c r="J56" s="101">
        <v>107.7812</v>
      </c>
      <c r="K56" s="103" t="s">
        <v>40</v>
      </c>
      <c r="L56" s="101">
        <v>89.337159999999997</v>
      </c>
      <c r="M56" s="101">
        <v>87.151759999999996</v>
      </c>
      <c r="N56" s="101">
        <v>78.947029999999998</v>
      </c>
      <c r="O56" s="101">
        <v>109.42026</v>
      </c>
      <c r="P56" s="101">
        <v>93.541470000000004</v>
      </c>
      <c r="Q56" s="101">
        <v>117.17376</v>
      </c>
      <c r="R56" s="101">
        <v>136.316</v>
      </c>
      <c r="S56" s="101">
        <v>101.32044999999999</v>
      </c>
      <c r="T56" s="101">
        <v>42.336970000000001</v>
      </c>
      <c r="U56" s="101">
        <v>97.995469999999997</v>
      </c>
    </row>
    <row r="57" spans="1:21" x14ac:dyDescent="0.2">
      <c r="A57" s="1" t="str">
        <f t="shared" si="9"/>
        <v>20216</v>
      </c>
      <c r="B57" s="1">
        <f t="shared" si="10"/>
        <v>2021</v>
      </c>
      <c r="C57" s="1">
        <f t="shared" si="11"/>
        <v>6</v>
      </c>
      <c r="D57" s="9">
        <v>44348</v>
      </c>
      <c r="E57" s="101">
        <v>98.872039999999998</v>
      </c>
      <c r="F57" s="101">
        <v>96.811449999999994</v>
      </c>
      <c r="G57" s="101">
        <v>95.915769999999995</v>
      </c>
      <c r="H57" s="101">
        <v>97.35369</v>
      </c>
      <c r="I57" s="101">
        <v>70.510369999999995</v>
      </c>
      <c r="J57" s="101">
        <v>102.44618</v>
      </c>
      <c r="K57" s="103" t="s">
        <v>40</v>
      </c>
      <c r="L57" s="101">
        <v>90.900599999999997</v>
      </c>
      <c r="M57" s="101">
        <v>98.375069999999994</v>
      </c>
      <c r="N57" s="101">
        <v>67.998289999999997</v>
      </c>
      <c r="O57" s="101">
        <v>110.08196</v>
      </c>
      <c r="P57" s="101">
        <v>90.19426</v>
      </c>
      <c r="Q57" s="101">
        <v>125.89481000000001</v>
      </c>
      <c r="R57" s="101">
        <v>130.54452000000001</v>
      </c>
      <c r="S57" s="101">
        <v>105.7441</v>
      </c>
      <c r="T57" s="101">
        <v>46.798270000000002</v>
      </c>
      <c r="U57" s="101">
        <v>94.578800000000001</v>
      </c>
    </row>
    <row r="58" spans="1:21" x14ac:dyDescent="0.2">
      <c r="A58" s="1" t="str">
        <f t="shared" si="9"/>
        <v>20217</v>
      </c>
      <c r="B58" s="1">
        <f t="shared" si="10"/>
        <v>2021</v>
      </c>
      <c r="C58" s="1">
        <f t="shared" si="11"/>
        <v>7</v>
      </c>
      <c r="D58" s="9">
        <v>44378</v>
      </c>
      <c r="E58" s="101">
        <v>95.754379999999998</v>
      </c>
      <c r="F58" s="101">
        <v>99.927459999999996</v>
      </c>
      <c r="G58" s="101">
        <v>103.03610999999999</v>
      </c>
      <c r="H58" s="101">
        <v>98.045490000000001</v>
      </c>
      <c r="I58" s="101">
        <v>75.870400000000004</v>
      </c>
      <c r="J58" s="101">
        <v>103.23033</v>
      </c>
      <c r="K58" s="103" t="s">
        <v>40</v>
      </c>
      <c r="L58" s="101">
        <v>87.476650000000006</v>
      </c>
      <c r="M58" s="101">
        <v>110.18389000000001</v>
      </c>
      <c r="N58" s="101">
        <v>76.918040000000005</v>
      </c>
      <c r="O58" s="101">
        <v>110.86359</v>
      </c>
      <c r="P58" s="101">
        <v>90.798940000000002</v>
      </c>
      <c r="Q58" s="101">
        <v>122.93486</v>
      </c>
      <c r="R58" s="101">
        <v>125.96127</v>
      </c>
      <c r="S58" s="101">
        <v>114.45853</v>
      </c>
      <c r="T58" s="101">
        <v>45.760739999999998</v>
      </c>
      <c r="U58" s="101">
        <v>98.112359999999995</v>
      </c>
    </row>
    <row r="59" spans="1:21" x14ac:dyDescent="0.2">
      <c r="A59" s="1" t="str">
        <f t="shared" si="9"/>
        <v>20218</v>
      </c>
      <c r="B59" s="1">
        <f t="shared" si="10"/>
        <v>2021</v>
      </c>
      <c r="C59" s="1">
        <f t="shared" si="11"/>
        <v>8</v>
      </c>
      <c r="D59" s="9">
        <v>44409</v>
      </c>
      <c r="E59" s="101">
        <v>95.481710000000007</v>
      </c>
      <c r="F59" s="101">
        <v>99.919340000000005</v>
      </c>
      <c r="G59" s="101">
        <v>102.21232999999999</v>
      </c>
      <c r="H59" s="101">
        <v>98.531180000000006</v>
      </c>
      <c r="I59" s="101">
        <v>103.82893</v>
      </c>
      <c r="J59" s="101">
        <v>102.37947</v>
      </c>
      <c r="K59" s="103" t="s">
        <v>40</v>
      </c>
      <c r="L59" s="101">
        <v>87.556449999999998</v>
      </c>
      <c r="M59" s="101">
        <v>112.55222999999999</v>
      </c>
      <c r="N59" s="101">
        <v>93.752170000000007</v>
      </c>
      <c r="O59" s="101">
        <v>106.61047000000001</v>
      </c>
      <c r="P59" s="101">
        <v>89.718519999999998</v>
      </c>
      <c r="Q59" s="101">
        <v>129.01273</v>
      </c>
      <c r="R59" s="101">
        <v>94.396550000000005</v>
      </c>
      <c r="S59" s="101">
        <v>104.99509999999999</v>
      </c>
      <c r="T59" s="101">
        <v>43.290840000000003</v>
      </c>
      <c r="U59" s="101">
        <v>95.744820000000004</v>
      </c>
    </row>
    <row r="60" spans="1:21" x14ac:dyDescent="0.2">
      <c r="A60" s="1" t="str">
        <f t="shared" si="9"/>
        <v>20219</v>
      </c>
      <c r="B60" s="1">
        <f t="shared" si="10"/>
        <v>2021</v>
      </c>
      <c r="C60" s="1">
        <f t="shared" si="11"/>
        <v>9</v>
      </c>
      <c r="D60" s="9">
        <v>44440</v>
      </c>
      <c r="E60" s="101">
        <v>97.148340000000005</v>
      </c>
      <c r="F60" s="101">
        <v>99.13852</v>
      </c>
      <c r="G60" s="101">
        <v>98.608350000000002</v>
      </c>
      <c r="H60" s="101">
        <v>99.459479999999999</v>
      </c>
      <c r="I60" s="101">
        <v>112.86554</v>
      </c>
      <c r="J60" s="101">
        <v>109.64422999999999</v>
      </c>
      <c r="K60" s="103" t="s">
        <v>40</v>
      </c>
      <c r="L60" s="101">
        <v>96.319640000000007</v>
      </c>
      <c r="M60" s="101">
        <v>108.35368</v>
      </c>
      <c r="N60" s="101">
        <v>86.23751</v>
      </c>
      <c r="O60" s="101">
        <v>103.40058000000001</v>
      </c>
      <c r="P60" s="101">
        <v>99.149389999999997</v>
      </c>
      <c r="Q60" s="101">
        <v>117.59652</v>
      </c>
      <c r="R60" s="101">
        <v>95.466189999999997</v>
      </c>
      <c r="S60" s="101">
        <v>89.829239999999999</v>
      </c>
      <c r="T60" s="101">
        <v>41.025469999999999</v>
      </c>
      <c r="U60" s="101">
        <v>99.578720000000004</v>
      </c>
    </row>
    <row r="61" spans="1:21" x14ac:dyDescent="0.2">
      <c r="A61" s="1" t="str">
        <f t="shared" si="9"/>
        <v>202110</v>
      </c>
      <c r="B61" s="1">
        <f t="shared" si="10"/>
        <v>2021</v>
      </c>
      <c r="C61" s="1">
        <f t="shared" si="11"/>
        <v>10</v>
      </c>
      <c r="D61" s="9">
        <v>44470</v>
      </c>
      <c r="E61" s="101">
        <v>96.137590000000003</v>
      </c>
      <c r="F61" s="101">
        <v>101.55944</v>
      </c>
      <c r="G61" s="101">
        <v>93.667580000000001</v>
      </c>
      <c r="H61" s="101">
        <v>106.33713</v>
      </c>
      <c r="I61" s="101">
        <v>118.5869</v>
      </c>
      <c r="J61" s="101">
        <v>122.31625</v>
      </c>
      <c r="K61" s="103" t="s">
        <v>40</v>
      </c>
      <c r="L61" s="101">
        <v>104.27087</v>
      </c>
      <c r="M61" s="101">
        <v>116.18713</v>
      </c>
      <c r="N61" s="101">
        <v>101.48554</v>
      </c>
      <c r="O61" s="101">
        <v>105.46420000000001</v>
      </c>
      <c r="P61" s="101">
        <v>97.729169999999996</v>
      </c>
      <c r="Q61" s="101">
        <v>116.86074000000001</v>
      </c>
      <c r="R61" s="101">
        <v>98.374319999999997</v>
      </c>
      <c r="S61" s="101">
        <v>101.07107000000001</v>
      </c>
      <c r="T61" s="101">
        <v>59.730220000000003</v>
      </c>
      <c r="U61" s="101">
        <v>101.85169999999999</v>
      </c>
    </row>
    <row r="62" spans="1:21" x14ac:dyDescent="0.2">
      <c r="A62" s="1" t="str">
        <f t="shared" si="9"/>
        <v>202111</v>
      </c>
      <c r="B62" s="1">
        <f t="shared" si="10"/>
        <v>2021</v>
      </c>
      <c r="C62" s="1">
        <f t="shared" si="11"/>
        <v>11</v>
      </c>
      <c r="D62" s="9">
        <v>44501</v>
      </c>
      <c r="E62" s="101">
        <v>95.044700000000006</v>
      </c>
      <c r="F62" s="101">
        <v>95.890039999999999</v>
      </c>
      <c r="G62" s="101">
        <v>95.143929999999997</v>
      </c>
      <c r="H62" s="101">
        <v>96.341740000000001</v>
      </c>
      <c r="I62" s="101">
        <v>116.63964</v>
      </c>
      <c r="J62" s="101">
        <v>104.66349</v>
      </c>
      <c r="K62" s="103" t="s">
        <v>40</v>
      </c>
      <c r="L62" s="101">
        <v>96.855630000000005</v>
      </c>
      <c r="M62" s="101">
        <v>109.64097</v>
      </c>
      <c r="N62" s="101">
        <v>80.901030000000006</v>
      </c>
      <c r="O62" s="101">
        <v>101.01215999999999</v>
      </c>
      <c r="P62" s="101">
        <v>91.737219999999994</v>
      </c>
      <c r="Q62" s="101">
        <v>92.462530000000001</v>
      </c>
      <c r="R62" s="101">
        <v>93.770070000000004</v>
      </c>
      <c r="S62" s="101">
        <v>90.228809999999996</v>
      </c>
      <c r="T62" s="101">
        <v>64.119370000000004</v>
      </c>
      <c r="U62" s="101">
        <v>101.20527</v>
      </c>
    </row>
    <row r="63" spans="1:21" x14ac:dyDescent="0.2">
      <c r="A63" s="1" t="str">
        <f t="shared" si="9"/>
        <v>202112</v>
      </c>
      <c r="B63" s="1">
        <f t="shared" si="10"/>
        <v>2021</v>
      </c>
      <c r="C63" s="1">
        <f t="shared" si="11"/>
        <v>12</v>
      </c>
      <c r="D63" s="9">
        <v>44531</v>
      </c>
      <c r="E63" s="105">
        <v>97.595879999999994</v>
      </c>
      <c r="F63" s="105">
        <v>97.439719999999994</v>
      </c>
      <c r="G63" s="105">
        <v>96.657830000000004</v>
      </c>
      <c r="H63" s="105">
        <v>97.913070000000005</v>
      </c>
      <c r="I63" s="105">
        <v>94.437830000000005</v>
      </c>
      <c r="J63" s="105">
        <v>116.85021</v>
      </c>
      <c r="K63" s="112" t="s">
        <v>40</v>
      </c>
      <c r="L63" s="105">
        <v>107.17346999999999</v>
      </c>
      <c r="M63" s="105">
        <v>94.875</v>
      </c>
      <c r="N63" s="105">
        <v>69.020319999999998</v>
      </c>
      <c r="O63" s="105">
        <v>84.541989999999998</v>
      </c>
      <c r="P63" s="105">
        <v>88.104219999999998</v>
      </c>
      <c r="Q63" s="105">
        <v>96.008409999999998</v>
      </c>
      <c r="R63" s="105">
        <v>105.36605</v>
      </c>
      <c r="S63" s="105">
        <v>78.909329999999997</v>
      </c>
      <c r="T63" s="105">
        <v>62.870199999999997</v>
      </c>
      <c r="U63" s="105">
        <v>115.76124</v>
      </c>
    </row>
    <row r="64" spans="1:21" x14ac:dyDescent="0.2">
      <c r="A64" s="1" t="str">
        <f t="shared" si="9"/>
        <v>20221</v>
      </c>
      <c r="B64" s="1">
        <f t="shared" si="10"/>
        <v>2022</v>
      </c>
      <c r="C64" s="1">
        <f t="shared" si="11"/>
        <v>1</v>
      </c>
      <c r="D64" s="9">
        <v>44562</v>
      </c>
      <c r="E64" s="101">
        <v>96.995800000000003</v>
      </c>
      <c r="F64" s="101">
        <v>97.700919999999996</v>
      </c>
      <c r="G64" s="101">
        <v>102.38742000000001</v>
      </c>
      <c r="H64" s="101">
        <v>92.614739999999998</v>
      </c>
      <c r="I64" s="101">
        <v>102.96514000000001</v>
      </c>
      <c r="J64" s="101">
        <v>107.48877</v>
      </c>
      <c r="K64" s="103" t="s">
        <v>40</v>
      </c>
      <c r="L64" s="101">
        <v>91.454419999999999</v>
      </c>
      <c r="M64" s="101">
        <v>104.8411</v>
      </c>
      <c r="N64" s="101">
        <v>37.576610000000002</v>
      </c>
      <c r="O64" s="101">
        <v>100.96261</v>
      </c>
      <c r="P64" s="101">
        <v>101.39698</v>
      </c>
      <c r="Q64" s="101">
        <v>91.333370000000002</v>
      </c>
      <c r="R64" s="101">
        <v>123.24924</v>
      </c>
      <c r="S64" s="101">
        <v>69.107609999999994</v>
      </c>
      <c r="T64" s="101">
        <v>62.00647</v>
      </c>
      <c r="U64" s="101">
        <v>94.919169999999994</v>
      </c>
    </row>
    <row r="65" spans="1:21" x14ac:dyDescent="0.2">
      <c r="A65" s="1" t="str">
        <f t="shared" si="9"/>
        <v>20222</v>
      </c>
      <c r="B65" s="1">
        <f t="shared" si="10"/>
        <v>2022</v>
      </c>
      <c r="C65" s="1">
        <f t="shared" si="11"/>
        <v>2</v>
      </c>
      <c r="D65" s="9">
        <v>44593</v>
      </c>
      <c r="E65" s="101">
        <v>95.404499999999999</v>
      </c>
      <c r="F65" s="101">
        <v>87.831059999999994</v>
      </c>
      <c r="G65" s="101">
        <v>89.432469999999995</v>
      </c>
      <c r="H65" s="101">
        <v>86.093069999999997</v>
      </c>
      <c r="I65" s="101">
        <v>97.107479999999995</v>
      </c>
      <c r="J65" s="101">
        <v>93.307119999999998</v>
      </c>
      <c r="K65" s="103" t="s">
        <v>40</v>
      </c>
      <c r="L65" s="101">
        <v>71.341579999999993</v>
      </c>
      <c r="M65" s="101">
        <v>82.790430000000001</v>
      </c>
      <c r="N65" s="101">
        <v>80.855879999999999</v>
      </c>
      <c r="O65" s="101">
        <v>99.688990000000004</v>
      </c>
      <c r="P65" s="101">
        <v>92.940439999999995</v>
      </c>
      <c r="Q65" s="101">
        <v>103.99041</v>
      </c>
      <c r="R65" s="101">
        <v>104.47601</v>
      </c>
      <c r="S65" s="101">
        <v>89.793989999999994</v>
      </c>
      <c r="T65" s="101">
        <v>55.451920000000001</v>
      </c>
      <c r="U65" s="101">
        <v>89.509169999999997</v>
      </c>
    </row>
    <row r="66" spans="1:21" x14ac:dyDescent="0.2">
      <c r="A66" s="1" t="str">
        <f t="shared" si="9"/>
        <v>20223</v>
      </c>
      <c r="B66" s="1">
        <f t="shared" si="10"/>
        <v>2022</v>
      </c>
      <c r="C66" s="1">
        <f t="shared" si="11"/>
        <v>3</v>
      </c>
      <c r="D66" s="9">
        <v>44621</v>
      </c>
      <c r="E66" s="101">
        <v>98.733350000000002</v>
      </c>
      <c r="F66" s="101">
        <v>96.853149999999999</v>
      </c>
      <c r="G66" s="101">
        <v>103.01244</v>
      </c>
      <c r="H66" s="101">
        <v>90.168580000000006</v>
      </c>
      <c r="I66" s="101">
        <v>106.28268</v>
      </c>
      <c r="J66" s="101">
        <v>107.08844000000001</v>
      </c>
      <c r="K66" s="103" t="s">
        <v>40</v>
      </c>
      <c r="L66" s="101">
        <v>73.722340000000003</v>
      </c>
      <c r="M66" s="101">
        <v>89.932540000000003</v>
      </c>
      <c r="N66" s="101">
        <v>58.9788</v>
      </c>
      <c r="O66" s="101">
        <v>98.557609999999997</v>
      </c>
      <c r="P66" s="101">
        <v>102.88085</v>
      </c>
      <c r="Q66" s="101">
        <v>96.45138</v>
      </c>
      <c r="R66" s="101">
        <v>105.98873</v>
      </c>
      <c r="S66" s="101">
        <v>103.22568</v>
      </c>
      <c r="T66" s="101">
        <v>60.808950000000003</v>
      </c>
      <c r="U66" s="101">
        <v>101.82903</v>
      </c>
    </row>
    <row r="67" spans="1:21" x14ac:dyDescent="0.2">
      <c r="A67" s="1" t="str">
        <f t="shared" si="9"/>
        <v>20224</v>
      </c>
      <c r="B67" s="1">
        <f t="shared" si="10"/>
        <v>2022</v>
      </c>
      <c r="C67" s="1">
        <f t="shared" si="11"/>
        <v>4</v>
      </c>
      <c r="D67" s="9">
        <v>44652</v>
      </c>
      <c r="E67" s="101">
        <v>106.04696</v>
      </c>
      <c r="F67" s="101">
        <v>100.98480000000001</v>
      </c>
      <c r="G67" s="101">
        <v>99.160650000000004</v>
      </c>
      <c r="H67" s="101">
        <v>102.96453</v>
      </c>
      <c r="I67" s="101">
        <v>96.402730000000005</v>
      </c>
      <c r="J67" s="101">
        <v>95.221590000000006</v>
      </c>
      <c r="K67" s="103" t="s">
        <v>40</v>
      </c>
      <c r="L67" s="101">
        <v>106.49946</v>
      </c>
      <c r="M67" s="101">
        <v>85.409239999999997</v>
      </c>
      <c r="N67" s="101">
        <v>183.57043999999999</v>
      </c>
      <c r="O67" s="101">
        <v>99.852220000000003</v>
      </c>
      <c r="P67" s="101">
        <v>94.465109999999996</v>
      </c>
      <c r="Q67" s="101">
        <v>99.781899999999993</v>
      </c>
      <c r="R67" s="101">
        <v>94.118939999999995</v>
      </c>
      <c r="S67" s="101">
        <v>95.984889999999993</v>
      </c>
      <c r="T67" s="101">
        <v>60.676569999999998</v>
      </c>
      <c r="U67" s="101">
        <v>100.66669</v>
      </c>
    </row>
    <row r="68" spans="1:21" x14ac:dyDescent="0.2">
      <c r="A68" s="1" t="str">
        <f t="shared" si="9"/>
        <v>20225</v>
      </c>
      <c r="B68" s="1">
        <f t="shared" si="10"/>
        <v>2022</v>
      </c>
      <c r="C68" s="1">
        <f t="shared" si="11"/>
        <v>5</v>
      </c>
      <c r="D68" s="9">
        <v>44682</v>
      </c>
      <c r="E68" s="101">
        <v>97.057109999999994</v>
      </c>
      <c r="F68" s="101">
        <v>95.987570000000005</v>
      </c>
      <c r="G68" s="101">
        <v>92.498840000000001</v>
      </c>
      <c r="H68" s="101">
        <v>99.773820000000001</v>
      </c>
      <c r="I68" s="101">
        <v>111.61346</v>
      </c>
      <c r="J68" s="101">
        <v>103.06782</v>
      </c>
      <c r="K68" s="103" t="s">
        <v>40</v>
      </c>
      <c r="L68" s="101">
        <v>104.16345</v>
      </c>
      <c r="M68" s="101">
        <v>84.499629999999996</v>
      </c>
      <c r="N68" s="101">
        <v>76.727379999999997</v>
      </c>
      <c r="O68" s="101">
        <v>106.28055999999999</v>
      </c>
      <c r="P68" s="101">
        <v>103.71651</v>
      </c>
      <c r="Q68" s="101">
        <v>97.676540000000003</v>
      </c>
      <c r="R68" s="101">
        <v>102.88785</v>
      </c>
      <c r="S68" s="101">
        <v>109.32541999999999</v>
      </c>
      <c r="T68" s="101">
        <v>92.037210000000002</v>
      </c>
      <c r="U68" s="101">
        <v>100.77221</v>
      </c>
    </row>
    <row r="69" spans="1:21" x14ac:dyDescent="0.2">
      <c r="A69" s="1" t="str">
        <f t="shared" si="9"/>
        <v>20226</v>
      </c>
      <c r="B69" s="1">
        <f t="shared" si="10"/>
        <v>2022</v>
      </c>
      <c r="C69" s="1">
        <f t="shared" si="11"/>
        <v>6</v>
      </c>
      <c r="D69" s="9">
        <v>44713</v>
      </c>
      <c r="E69" s="101">
        <v>92.992679999999993</v>
      </c>
      <c r="F69" s="101">
        <v>91.076790000000003</v>
      </c>
      <c r="G69" s="101">
        <v>89.057730000000006</v>
      </c>
      <c r="H69" s="101">
        <v>93.268039999999999</v>
      </c>
      <c r="I69" s="101">
        <v>95.821200000000005</v>
      </c>
      <c r="J69" s="101">
        <v>86.628489999999999</v>
      </c>
      <c r="K69" s="103" t="s">
        <v>40</v>
      </c>
      <c r="L69" s="101">
        <v>91.30538</v>
      </c>
      <c r="M69" s="101">
        <v>87.713120000000004</v>
      </c>
      <c r="N69" s="101">
        <v>42.418460000000003</v>
      </c>
      <c r="O69" s="101">
        <v>102.18519999999999</v>
      </c>
      <c r="P69" s="101">
        <v>91.647030000000001</v>
      </c>
      <c r="Q69" s="101">
        <v>104.93154</v>
      </c>
      <c r="R69" s="101">
        <v>97.764420000000001</v>
      </c>
      <c r="S69" s="101">
        <v>104.50976</v>
      </c>
      <c r="T69" s="101">
        <v>98.092759999999998</v>
      </c>
      <c r="U69" s="101">
        <v>102.23018</v>
      </c>
    </row>
    <row r="70" spans="1:21" x14ac:dyDescent="0.2">
      <c r="A70" s="1" t="str">
        <f t="shared" si="9"/>
        <v>20227</v>
      </c>
      <c r="B70" s="1">
        <f t="shared" si="10"/>
        <v>2022</v>
      </c>
      <c r="C70" s="1">
        <f t="shared" si="11"/>
        <v>7</v>
      </c>
      <c r="D70" s="9">
        <v>44743</v>
      </c>
      <c r="E70" s="101">
        <v>98.756479999999996</v>
      </c>
      <c r="F70" s="101">
        <v>102.62372999999999</v>
      </c>
      <c r="G70" s="101">
        <v>98.594309999999993</v>
      </c>
      <c r="H70" s="101">
        <v>106.99679999999999</v>
      </c>
      <c r="I70" s="101">
        <v>101.69822000000001</v>
      </c>
      <c r="J70" s="101">
        <v>81.090230000000005</v>
      </c>
      <c r="K70" s="103" t="s">
        <v>40</v>
      </c>
      <c r="L70" s="101">
        <v>113.07876</v>
      </c>
      <c r="M70" s="101">
        <v>110.72927</v>
      </c>
      <c r="N70" s="101">
        <v>103.68868999999999</v>
      </c>
      <c r="O70" s="101">
        <v>107.51433</v>
      </c>
      <c r="P70" s="101">
        <v>96.803100000000001</v>
      </c>
      <c r="Q70" s="101">
        <v>112.55226</v>
      </c>
      <c r="R70" s="101">
        <v>104.14751</v>
      </c>
      <c r="S70" s="101">
        <v>116.79192</v>
      </c>
      <c r="T70" s="101">
        <v>102.06824</v>
      </c>
      <c r="U70" s="101">
        <v>100.24824</v>
      </c>
    </row>
    <row r="71" spans="1:21" x14ac:dyDescent="0.2">
      <c r="A71" s="1" t="str">
        <f t="shared" si="9"/>
        <v>20228</v>
      </c>
      <c r="B71" s="1">
        <f t="shared" si="10"/>
        <v>2022</v>
      </c>
      <c r="C71" s="1">
        <f t="shared" si="11"/>
        <v>8</v>
      </c>
      <c r="D71" s="9">
        <v>44774</v>
      </c>
      <c r="E71" s="101">
        <v>100.45251</v>
      </c>
      <c r="F71" s="101">
        <v>105.29613999999999</v>
      </c>
      <c r="G71" s="101">
        <v>101.09014000000001</v>
      </c>
      <c r="H71" s="101">
        <v>109.86085</v>
      </c>
      <c r="I71" s="101">
        <v>96.688630000000003</v>
      </c>
      <c r="J71" s="101">
        <v>102.27</v>
      </c>
      <c r="K71" s="103" t="s">
        <v>40</v>
      </c>
      <c r="L71" s="101">
        <v>109.07426</v>
      </c>
      <c r="M71" s="101">
        <v>116.92728</v>
      </c>
      <c r="N71" s="101">
        <v>123.91822999999999</v>
      </c>
      <c r="O71" s="101">
        <v>106.31703</v>
      </c>
      <c r="P71" s="101">
        <v>107.71883</v>
      </c>
      <c r="Q71" s="101">
        <v>113.67274</v>
      </c>
      <c r="R71" s="101">
        <v>100.96281999999999</v>
      </c>
      <c r="S71" s="101">
        <v>113.24472</v>
      </c>
      <c r="T71" s="101">
        <v>120.34761</v>
      </c>
      <c r="U71" s="101">
        <v>109.12009999999999</v>
      </c>
    </row>
    <row r="72" spans="1:21" x14ac:dyDescent="0.2">
      <c r="A72" s="1" t="str">
        <f t="shared" si="9"/>
        <v>20229</v>
      </c>
      <c r="B72" s="1">
        <f t="shared" si="10"/>
        <v>2022</v>
      </c>
      <c r="C72" s="1">
        <f t="shared" si="11"/>
        <v>9</v>
      </c>
      <c r="D72" s="9">
        <v>44805</v>
      </c>
      <c r="E72" s="101">
        <v>100.70456</v>
      </c>
      <c r="F72" s="101">
        <v>102.96708</v>
      </c>
      <c r="G72" s="101">
        <v>101.33825</v>
      </c>
      <c r="H72" s="101">
        <v>104.73483</v>
      </c>
      <c r="I72" s="101">
        <v>93.609669999999994</v>
      </c>
      <c r="J72" s="101">
        <v>94.085790000000003</v>
      </c>
      <c r="K72" s="103" t="s">
        <v>40</v>
      </c>
      <c r="L72" s="101">
        <v>111.73309999999999</v>
      </c>
      <c r="M72" s="101">
        <v>120.54915</v>
      </c>
      <c r="N72" s="101">
        <v>112.41858000000001</v>
      </c>
      <c r="O72" s="101">
        <v>100.58803</v>
      </c>
      <c r="P72" s="101">
        <v>99.018370000000004</v>
      </c>
      <c r="Q72" s="101">
        <v>93.780619999999999</v>
      </c>
      <c r="R72" s="101">
        <v>98.27722</v>
      </c>
      <c r="S72" s="101">
        <v>96.281679999999994</v>
      </c>
      <c r="T72" s="101">
        <v>130.47963999999999</v>
      </c>
      <c r="U72" s="101">
        <v>103.29773</v>
      </c>
    </row>
    <row r="73" spans="1:21" x14ac:dyDescent="0.2">
      <c r="A73" s="1" t="str">
        <f t="shared" si="9"/>
        <v>202210</v>
      </c>
      <c r="B73" s="1">
        <f t="shared" si="10"/>
        <v>2022</v>
      </c>
      <c r="C73" s="1">
        <f t="shared" si="11"/>
        <v>10</v>
      </c>
      <c r="D73" s="9">
        <v>44835</v>
      </c>
      <c r="E73" s="101">
        <v>109.31553</v>
      </c>
      <c r="F73" s="101">
        <v>114.82825</v>
      </c>
      <c r="G73" s="101">
        <v>122.12134</v>
      </c>
      <c r="H73" s="101">
        <v>106.91318</v>
      </c>
      <c r="I73" s="101">
        <v>96.701170000000005</v>
      </c>
      <c r="J73" s="101">
        <v>100.53695</v>
      </c>
      <c r="K73" s="103" t="s">
        <v>40</v>
      </c>
      <c r="L73" s="101">
        <v>108.72444</v>
      </c>
      <c r="M73" s="101">
        <v>122.26116</v>
      </c>
      <c r="N73" s="101">
        <v>93.19171</v>
      </c>
      <c r="O73" s="101">
        <v>103.43419</v>
      </c>
      <c r="P73" s="101">
        <v>96.070440000000005</v>
      </c>
      <c r="Q73" s="101">
        <v>110.91005</v>
      </c>
      <c r="R73" s="101">
        <v>97.112960000000001</v>
      </c>
      <c r="S73" s="101">
        <v>100.34441</v>
      </c>
      <c r="T73" s="101">
        <v>136.01464999999999</v>
      </c>
      <c r="U73" s="101">
        <v>104.35346</v>
      </c>
    </row>
    <row r="74" spans="1:21" x14ac:dyDescent="0.2">
      <c r="A74" s="1" t="str">
        <f t="shared" si="9"/>
        <v>202211</v>
      </c>
      <c r="B74" s="1">
        <f t="shared" si="10"/>
        <v>2022</v>
      </c>
      <c r="C74" s="1">
        <f t="shared" si="11"/>
        <v>11</v>
      </c>
      <c r="D74" s="9">
        <v>44866</v>
      </c>
      <c r="E74" s="101">
        <v>101.80065</v>
      </c>
      <c r="F74" s="101">
        <v>102.51759</v>
      </c>
      <c r="G74" s="101">
        <v>100.96167</v>
      </c>
      <c r="H74" s="101">
        <v>104.2062</v>
      </c>
      <c r="I74" s="101">
        <v>98.864369999999994</v>
      </c>
      <c r="J74" s="101">
        <v>110.39106</v>
      </c>
      <c r="K74" s="103" t="s">
        <v>40</v>
      </c>
      <c r="L74" s="101">
        <v>97.685879999999997</v>
      </c>
      <c r="M74" s="101">
        <v>118.18436</v>
      </c>
      <c r="N74" s="101">
        <v>154.56335999999999</v>
      </c>
      <c r="O74" s="101">
        <v>94.809690000000003</v>
      </c>
      <c r="P74" s="101">
        <v>102.45466999999999</v>
      </c>
      <c r="Q74" s="101">
        <v>98.488849999999999</v>
      </c>
      <c r="R74" s="101">
        <v>88.20384</v>
      </c>
      <c r="S74" s="101">
        <v>109.61574</v>
      </c>
      <c r="T74" s="101">
        <v>137.96213</v>
      </c>
      <c r="U74" s="101">
        <v>91.548749999999998</v>
      </c>
    </row>
    <row r="75" spans="1:21" x14ac:dyDescent="0.2">
      <c r="A75" s="1" t="str">
        <f t="shared" si="9"/>
        <v>202212</v>
      </c>
      <c r="B75" s="1">
        <f t="shared" si="10"/>
        <v>2022</v>
      </c>
      <c r="C75" s="1">
        <f t="shared" si="11"/>
        <v>12</v>
      </c>
      <c r="D75" s="9">
        <v>44896</v>
      </c>
      <c r="E75" s="101">
        <v>101.53095999999999</v>
      </c>
      <c r="F75" s="101">
        <v>101.33292</v>
      </c>
      <c r="G75" s="101">
        <v>100.34473</v>
      </c>
      <c r="H75" s="101">
        <v>102.40537999999999</v>
      </c>
      <c r="I75" s="101">
        <v>102.24525</v>
      </c>
      <c r="J75" s="101">
        <v>118.82375</v>
      </c>
      <c r="K75" s="103" t="s">
        <v>40</v>
      </c>
      <c r="L75" s="101">
        <v>121.21693</v>
      </c>
      <c r="M75" s="101">
        <v>76.162700000000001</v>
      </c>
      <c r="N75" s="101">
        <v>132.09186</v>
      </c>
      <c r="O75" s="101">
        <v>79.809539999999998</v>
      </c>
      <c r="P75" s="101">
        <v>110.88739</v>
      </c>
      <c r="Q75" s="101">
        <v>76.430329999999998</v>
      </c>
      <c r="R75" s="101">
        <v>82.81044</v>
      </c>
      <c r="S75" s="101">
        <v>91.774169999999998</v>
      </c>
      <c r="T75" s="101">
        <v>144.05385999999999</v>
      </c>
      <c r="U75" s="101">
        <v>101.50556</v>
      </c>
    </row>
    <row r="76" spans="1:21" x14ac:dyDescent="0.2">
      <c r="A76" s="1" t="str">
        <f t="shared" si="9"/>
        <v>20231</v>
      </c>
      <c r="B76" s="1">
        <f t="shared" si="10"/>
        <v>2023</v>
      </c>
      <c r="C76" s="1">
        <f t="shared" si="11"/>
        <v>1</v>
      </c>
      <c r="D76" s="9">
        <v>44927</v>
      </c>
      <c r="E76" s="101">
        <v>100.73014999999999</v>
      </c>
      <c r="F76" s="101">
        <v>101.15138</v>
      </c>
      <c r="G76" s="101">
        <v>106.67131999999999</v>
      </c>
      <c r="H76" s="101">
        <v>95.160679999999999</v>
      </c>
      <c r="I76" s="101">
        <v>96.27731</v>
      </c>
      <c r="J76" s="101">
        <v>99.742130000000003</v>
      </c>
      <c r="K76" s="103" t="s">
        <v>40</v>
      </c>
      <c r="L76" s="101">
        <v>106.50855</v>
      </c>
      <c r="M76" s="101">
        <v>99.623109999999997</v>
      </c>
      <c r="N76" s="101">
        <v>78.891570000000002</v>
      </c>
      <c r="O76" s="101">
        <v>90.239369999999994</v>
      </c>
      <c r="P76" s="101">
        <v>112.25317</v>
      </c>
      <c r="Q76" s="101">
        <v>84.306219999999996</v>
      </c>
      <c r="R76" s="101">
        <v>90.359470000000002</v>
      </c>
      <c r="S76" s="101">
        <v>72.304659999999998</v>
      </c>
      <c r="T76" s="101">
        <v>162.55031</v>
      </c>
      <c r="U76" s="101">
        <v>98.461129999999997</v>
      </c>
    </row>
    <row r="77" spans="1:21" x14ac:dyDescent="0.2">
      <c r="A77" s="1" t="str">
        <f t="shared" si="9"/>
        <v>20232</v>
      </c>
      <c r="B77" s="1">
        <f t="shared" si="10"/>
        <v>2023</v>
      </c>
      <c r="C77" s="1">
        <f t="shared" si="11"/>
        <v>2</v>
      </c>
      <c r="D77" s="9">
        <v>44958</v>
      </c>
      <c r="E77" s="101">
        <v>101.78019</v>
      </c>
      <c r="F77" s="101">
        <v>93.437690000000003</v>
      </c>
      <c r="G77" s="101">
        <v>94.182540000000003</v>
      </c>
      <c r="H77" s="101">
        <v>92.629310000000004</v>
      </c>
      <c r="I77" s="101">
        <v>86.345640000000003</v>
      </c>
      <c r="J77" s="101">
        <v>103.56985</v>
      </c>
      <c r="K77" s="103" t="s">
        <v>40</v>
      </c>
      <c r="L77" s="101">
        <v>108.94592</v>
      </c>
      <c r="M77" s="101">
        <v>82.785610000000005</v>
      </c>
      <c r="N77" s="101">
        <v>80.390060000000005</v>
      </c>
      <c r="O77" s="101">
        <v>81.762680000000003</v>
      </c>
      <c r="P77" s="101">
        <v>98.859480000000005</v>
      </c>
      <c r="Q77" s="101">
        <v>88.661389999999997</v>
      </c>
      <c r="R77" s="101">
        <v>78.226190000000003</v>
      </c>
      <c r="S77" s="101">
        <v>93.287469999999999</v>
      </c>
      <c r="T77" s="101">
        <v>132.53398999999999</v>
      </c>
      <c r="U77" s="101">
        <v>85.075180000000003</v>
      </c>
    </row>
    <row r="78" spans="1:21" x14ac:dyDescent="0.2">
      <c r="A78" s="1" t="str">
        <f t="shared" si="9"/>
        <v>20233</v>
      </c>
      <c r="B78" s="1">
        <f t="shared" si="10"/>
        <v>2023</v>
      </c>
      <c r="C78" s="1">
        <f t="shared" si="11"/>
        <v>3</v>
      </c>
      <c r="D78" s="9">
        <v>44986</v>
      </c>
      <c r="E78" s="101">
        <v>103.48985</v>
      </c>
      <c r="F78" s="101">
        <v>102.35405</v>
      </c>
      <c r="G78" s="101">
        <v>102.16289999999999</v>
      </c>
      <c r="H78" s="101">
        <v>102.5615</v>
      </c>
      <c r="I78" s="101">
        <v>99.986890000000002</v>
      </c>
      <c r="J78" s="101">
        <v>107.51589</v>
      </c>
      <c r="K78" s="103" t="s">
        <v>40</v>
      </c>
      <c r="L78" s="101">
        <v>111.18974</v>
      </c>
      <c r="M78" s="101">
        <v>82.961550000000003</v>
      </c>
      <c r="N78" s="101">
        <v>87.343860000000006</v>
      </c>
      <c r="O78" s="101">
        <v>96.332930000000005</v>
      </c>
      <c r="P78" s="101">
        <v>122.84301000000001</v>
      </c>
      <c r="Q78" s="101">
        <v>87.692179999999993</v>
      </c>
      <c r="R78" s="101">
        <v>103.55164000000001</v>
      </c>
      <c r="S78" s="101">
        <v>100.31835</v>
      </c>
      <c r="T78" s="101">
        <v>189.54689999999999</v>
      </c>
      <c r="U78" s="101">
        <v>100.89605</v>
      </c>
    </row>
    <row r="79" spans="1:21" x14ac:dyDescent="0.2">
      <c r="A79" s="1" t="str">
        <f t="shared" si="9"/>
        <v>20234</v>
      </c>
      <c r="B79" s="1">
        <f t="shared" si="10"/>
        <v>2023</v>
      </c>
      <c r="C79" s="1">
        <f t="shared" si="11"/>
        <v>4</v>
      </c>
      <c r="D79" s="9">
        <v>45017</v>
      </c>
      <c r="E79" s="101">
        <v>101.82038</v>
      </c>
      <c r="F79" s="101">
        <v>96.960130000000007</v>
      </c>
      <c r="G79" s="101">
        <v>98.73133</v>
      </c>
      <c r="H79" s="101">
        <v>95.037880000000001</v>
      </c>
      <c r="I79" s="101">
        <v>93.683899999999994</v>
      </c>
      <c r="J79" s="101">
        <v>100.16099</v>
      </c>
      <c r="K79" s="103" t="s">
        <v>40</v>
      </c>
      <c r="L79" s="101">
        <v>108.61347000000001</v>
      </c>
      <c r="M79" s="101">
        <v>72.941249999999997</v>
      </c>
      <c r="N79" s="101">
        <v>84.576800000000006</v>
      </c>
      <c r="O79" s="101">
        <v>95.950140000000005</v>
      </c>
      <c r="P79" s="101">
        <v>114.79846999999999</v>
      </c>
      <c r="Q79" s="101">
        <v>90.544390000000007</v>
      </c>
      <c r="R79" s="101">
        <v>84.114999999999995</v>
      </c>
      <c r="S79" s="101">
        <v>74.440119999999993</v>
      </c>
      <c r="T79" s="101">
        <v>140.81845999999999</v>
      </c>
      <c r="U79" s="101">
        <v>91.508679999999998</v>
      </c>
    </row>
    <row r="80" spans="1:21" x14ac:dyDescent="0.2">
      <c r="A80" s="1" t="str">
        <f t="shared" si="9"/>
        <v>20235</v>
      </c>
      <c r="B80" s="1">
        <f t="shared" si="10"/>
        <v>2023</v>
      </c>
      <c r="C80" s="1">
        <f t="shared" si="11"/>
        <v>5</v>
      </c>
      <c r="D80" s="9">
        <v>45047</v>
      </c>
      <c r="E80" s="101">
        <v>100.40269000000001</v>
      </c>
      <c r="F80" s="101">
        <v>99.132639999999995</v>
      </c>
      <c r="G80" s="101">
        <v>102.63813</v>
      </c>
      <c r="H80" s="101">
        <v>95.328190000000006</v>
      </c>
      <c r="I80" s="101">
        <v>97.191119999999998</v>
      </c>
      <c r="J80" s="101">
        <v>98.472300000000004</v>
      </c>
      <c r="K80" s="103" t="s">
        <v>40</v>
      </c>
      <c r="L80" s="101">
        <v>96.940060000000003</v>
      </c>
      <c r="M80" s="101">
        <v>69.414659999999998</v>
      </c>
      <c r="N80" s="101">
        <v>76.967359999999999</v>
      </c>
      <c r="O80" s="101">
        <v>94.380809999999997</v>
      </c>
      <c r="P80" s="101">
        <v>124.41527000000001</v>
      </c>
      <c r="Q80" s="101">
        <v>101.79326</v>
      </c>
      <c r="R80" s="101">
        <v>93.009280000000004</v>
      </c>
      <c r="S80" s="101">
        <v>104.40843</v>
      </c>
      <c r="T80" s="101">
        <v>170.10579999999999</v>
      </c>
      <c r="U80" s="101">
        <v>100.94009</v>
      </c>
    </row>
    <row r="81" spans="1:21" x14ac:dyDescent="0.2">
      <c r="A81" s="1" t="str">
        <f t="shared" si="9"/>
        <v>20236</v>
      </c>
      <c r="B81" s="1">
        <f t="shared" si="10"/>
        <v>2023</v>
      </c>
      <c r="C81" s="1">
        <f t="shared" si="11"/>
        <v>6</v>
      </c>
      <c r="D81" s="9">
        <v>45078</v>
      </c>
      <c r="E81" s="101">
        <v>103.41271999999999</v>
      </c>
      <c r="F81" s="101">
        <v>101.59558</v>
      </c>
      <c r="G81" s="101">
        <v>105.05194</v>
      </c>
      <c r="H81" s="101">
        <v>97.844449999999995</v>
      </c>
      <c r="I81" s="101">
        <v>85.314049999999995</v>
      </c>
      <c r="J81" s="101">
        <v>83.634770000000003</v>
      </c>
      <c r="K81" s="103" t="s">
        <v>40</v>
      </c>
      <c r="L81" s="101">
        <v>113.74330999999999</v>
      </c>
      <c r="M81" s="101">
        <v>88.994380000000007</v>
      </c>
      <c r="N81" s="101">
        <v>61.733029999999999</v>
      </c>
      <c r="O81" s="101">
        <v>89.617940000000004</v>
      </c>
      <c r="P81" s="101">
        <v>123.61275000000001</v>
      </c>
      <c r="Q81" s="101">
        <v>95.829840000000004</v>
      </c>
      <c r="R81" s="101">
        <v>92.113069999999993</v>
      </c>
      <c r="S81" s="101">
        <v>96.813040000000001</v>
      </c>
      <c r="T81" s="101">
        <v>168.97346999999999</v>
      </c>
      <c r="U81" s="101">
        <v>101.21301</v>
      </c>
    </row>
    <row r="82" spans="1:21" x14ac:dyDescent="0.2">
      <c r="A82" s="1" t="str">
        <f t="shared" si="9"/>
        <v>20237</v>
      </c>
      <c r="B82" s="1">
        <f t="shared" si="10"/>
        <v>2023</v>
      </c>
      <c r="C82" s="1">
        <f t="shared" si="11"/>
        <v>7</v>
      </c>
      <c r="D82" s="9">
        <v>45108</v>
      </c>
      <c r="E82" s="101">
        <v>102.57938</v>
      </c>
      <c r="F82" s="101">
        <v>106.13692</v>
      </c>
      <c r="G82" s="101">
        <v>113.71982</v>
      </c>
      <c r="H82" s="101">
        <v>97.907330000000002</v>
      </c>
      <c r="I82" s="101">
        <v>99.455889999999997</v>
      </c>
      <c r="J82" s="101">
        <v>86.027379999999994</v>
      </c>
      <c r="K82" s="103" t="s">
        <v>40</v>
      </c>
      <c r="L82" s="101">
        <v>104.88531</v>
      </c>
      <c r="M82" s="101">
        <v>104.57470000000001</v>
      </c>
      <c r="N82" s="101">
        <v>76.374480000000005</v>
      </c>
      <c r="O82" s="101">
        <v>88.691999999999993</v>
      </c>
      <c r="P82" s="101">
        <v>125.18371</v>
      </c>
      <c r="Q82" s="101">
        <v>99.895120000000006</v>
      </c>
      <c r="R82" s="101">
        <v>84.929540000000003</v>
      </c>
      <c r="S82" s="101">
        <v>74.240080000000006</v>
      </c>
      <c r="T82" s="101">
        <v>149.32801000000001</v>
      </c>
      <c r="U82" s="101">
        <v>104.61494</v>
      </c>
    </row>
    <row r="83" spans="1:21" x14ac:dyDescent="0.2">
      <c r="A83" s="1" t="str">
        <f t="shared" si="9"/>
        <v>20238</v>
      </c>
      <c r="B83" s="1">
        <f t="shared" si="10"/>
        <v>2023</v>
      </c>
      <c r="C83" s="1">
        <f t="shared" si="11"/>
        <v>8</v>
      </c>
      <c r="D83" s="9">
        <v>45139</v>
      </c>
      <c r="E83" s="101">
        <v>104.30128999999999</v>
      </c>
      <c r="F83" s="101">
        <v>109.44410000000001</v>
      </c>
      <c r="G83" s="101">
        <v>110.84626</v>
      </c>
      <c r="H83" s="101">
        <v>107.92234999999999</v>
      </c>
      <c r="I83" s="101">
        <v>102.67847</v>
      </c>
      <c r="J83" s="101">
        <v>103.11544000000001</v>
      </c>
      <c r="K83" s="103" t="s">
        <v>40</v>
      </c>
      <c r="L83" s="101">
        <v>120.21108</v>
      </c>
      <c r="M83" s="101">
        <v>117.89896</v>
      </c>
      <c r="N83" s="101">
        <v>79.139669999999995</v>
      </c>
      <c r="O83" s="101">
        <v>94.139330000000001</v>
      </c>
      <c r="P83" s="101">
        <v>124.84681999999999</v>
      </c>
      <c r="Q83" s="101">
        <v>97.624179999999996</v>
      </c>
      <c r="R83" s="101">
        <v>98.664640000000006</v>
      </c>
      <c r="S83" s="101">
        <v>105.88982</v>
      </c>
      <c r="T83" s="101">
        <v>148.41640000000001</v>
      </c>
      <c r="U83" s="101">
        <v>105.18407000000001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3"/>
  <sheetViews>
    <sheetView topLeftCell="A58" zoomScale="85" zoomScaleNormal="85" workbookViewId="0">
      <selection activeCell="E83" sqref="E83"/>
    </sheetView>
  </sheetViews>
  <sheetFormatPr defaultRowHeight="15" x14ac:dyDescent="0.25"/>
  <cols>
    <col min="5" max="5" width="14" customWidth="1"/>
    <col min="6" max="6" width="14.140625" customWidth="1"/>
    <col min="7" max="7" width="19.85546875" customWidth="1"/>
  </cols>
  <sheetData>
    <row r="1" spans="1:21" x14ac:dyDescent="0.25">
      <c r="D1" s="10" t="s">
        <v>35</v>
      </c>
      <c r="E1" s="20"/>
      <c r="F1" s="20"/>
      <c r="G1" s="20"/>
    </row>
    <row r="2" spans="1:21" x14ac:dyDescent="0.25">
      <c r="D2" s="13"/>
      <c r="E2" s="12"/>
      <c r="F2" s="12"/>
      <c r="G2" s="12"/>
    </row>
    <row r="3" spans="1:21" ht="101.25" x14ac:dyDescent="0.25">
      <c r="D3" s="10" t="s">
        <v>3</v>
      </c>
      <c r="E3" s="44" t="s">
        <v>19</v>
      </c>
      <c r="F3" s="44" t="s">
        <v>20</v>
      </c>
      <c r="G3" s="44" t="s">
        <v>14</v>
      </c>
      <c r="H3" s="44" t="s">
        <v>15</v>
      </c>
      <c r="I3" s="44" t="s">
        <v>21</v>
      </c>
      <c r="J3" s="44" t="s">
        <v>22</v>
      </c>
      <c r="K3" s="44" t="s">
        <v>23</v>
      </c>
      <c r="L3" s="44" t="s">
        <v>24</v>
      </c>
      <c r="M3" s="44" t="s">
        <v>25</v>
      </c>
      <c r="N3" s="44" t="s">
        <v>26</v>
      </c>
      <c r="O3" s="44" t="s">
        <v>27</v>
      </c>
      <c r="P3" s="44" t="s">
        <v>28</v>
      </c>
      <c r="Q3" s="44" t="s">
        <v>29</v>
      </c>
      <c r="R3" s="44" t="s">
        <v>30</v>
      </c>
      <c r="S3" s="44" t="s">
        <v>31</v>
      </c>
      <c r="T3" s="44" t="s">
        <v>32</v>
      </c>
      <c r="U3" s="45" t="s">
        <v>33</v>
      </c>
    </row>
    <row r="4" spans="1:21" x14ac:dyDescent="0.25">
      <c r="A4" t="str">
        <f>dados!A4</f>
        <v>20171</v>
      </c>
      <c r="B4">
        <f>dados!B4</f>
        <v>2017</v>
      </c>
      <c r="C4">
        <f>dados!C4</f>
        <v>1</v>
      </c>
      <c r="D4" s="14">
        <f>dados!D4</f>
        <v>42736</v>
      </c>
      <c r="E4" s="48">
        <f>ABS(SUMPRODUCT(dados!E:E,-(dados!$B:$B=$B4),-(dados!$C:$C&lt;=$C4)))</f>
        <v>85.504490000000004</v>
      </c>
      <c r="F4" s="48">
        <f>ABS(SUMPRODUCT(dados!F:F,-(dados!$B:$B=$B4),-(dados!$C:$C&lt;=$C4)))</f>
        <v>86.534270000000006</v>
      </c>
      <c r="G4" s="48">
        <f>ABS(SUMPRODUCT(dados!G:G,-(dados!$B:$B=$B4),-(dados!$C:$C&lt;=$C4)))</f>
        <v>82.043360000000007</v>
      </c>
      <c r="H4" s="48">
        <f>ABS(SUMPRODUCT(dados!H:H,-(dados!$B:$B=$B4),-(dados!$C:$C&lt;=$C4)))</f>
        <v>89.253050000000002</v>
      </c>
      <c r="I4" s="48">
        <f>ABS(SUMPRODUCT(dados!I:I,-(dados!$B:$B=$B4),-(dados!$C:$C&lt;=$C4)))</f>
        <v>109.54627000000001</v>
      </c>
      <c r="J4" s="48">
        <f>ABS(SUMPRODUCT(dados!J:J,-(dados!$B:$B=$B4),-(dados!$C:$C&lt;=$C4)))</f>
        <v>143.55978999999999</v>
      </c>
      <c r="K4" s="48">
        <f>ABS(SUMPRODUCT(dados!K:K,-(dados!$B:$B=$B4),-(dados!$C:$C&lt;=$C4)))</f>
        <v>0</v>
      </c>
      <c r="L4" s="48">
        <f>ABS(SUMPRODUCT(dados!L:L,-(dados!$B:$B=$B4),-(dados!$C:$C&lt;=$C4)))</f>
        <v>83.637460000000004</v>
      </c>
      <c r="M4" s="48">
        <f>ABS(SUMPRODUCT(dados!M:M,-(dados!$B:$B=$B4),-(dados!$C:$C&lt;=$C4)))</f>
        <v>93.803299999999993</v>
      </c>
      <c r="N4" s="48">
        <f>ABS(SUMPRODUCT(dados!N:N,-(dados!$B:$B=$B4),-(dados!$C:$C&lt;=$C4)))</f>
        <v>68.354100000000003</v>
      </c>
      <c r="O4" s="48">
        <f>ABS(SUMPRODUCT(dados!O:O,-(dados!$B:$B=$B4),-(dados!$C:$C&lt;=$C4)))</f>
        <v>108.35245999999999</v>
      </c>
      <c r="P4" s="48">
        <f>ABS(SUMPRODUCT(dados!P:P,-(dados!$B:$B=$B4),-(dados!$C:$C&lt;=$C4)))</f>
        <v>58.928069999999998</v>
      </c>
      <c r="Q4" s="48">
        <f>ABS(SUMPRODUCT(dados!Q:Q,-(dados!$B:$B=$B4),-(dados!$C:$C&lt;=$C4)))</f>
        <v>106.95267</v>
      </c>
      <c r="R4" s="48">
        <f>ABS(SUMPRODUCT(dados!R:R,-(dados!$B:$B=$B4),-(dados!$C:$C&lt;=$C4)))</f>
        <v>71.258660000000006</v>
      </c>
      <c r="S4" s="48">
        <f>ABS(SUMPRODUCT(dados!S:S,-(dados!$B:$B=$B4),-(dados!$C:$C&lt;=$C4)))</f>
        <v>59.216920000000002</v>
      </c>
      <c r="T4" s="48">
        <f>ABS(SUMPRODUCT(dados!T:T,-(dados!$B:$B=$B4),-(dados!$C:$C&lt;=$C4)))</f>
        <v>95.583960000000005</v>
      </c>
      <c r="U4" s="48">
        <f>ABS(SUMPRODUCT(dados!U:U,-(dados!$B:$B=$B4),-(dados!$C:$C&lt;=$C4)))</f>
        <v>125.48721</v>
      </c>
    </row>
    <row r="5" spans="1:21" x14ac:dyDescent="0.25">
      <c r="A5" t="str">
        <f>dados!A5</f>
        <v>20172</v>
      </c>
      <c r="B5">
        <f>dados!B5</f>
        <v>2017</v>
      </c>
      <c r="C5">
        <f>dados!C5</f>
        <v>2</v>
      </c>
      <c r="D5" s="14">
        <f>dados!D5</f>
        <v>42767</v>
      </c>
      <c r="E5" s="48">
        <f>ABS(SUMPRODUCT(dados!E:E,-(dados!$B:$B=$B5),-(dados!$C:$C&lt;=$C5)))</f>
        <v>172.82353000000001</v>
      </c>
      <c r="F5" s="48">
        <f>ABS(SUMPRODUCT(dados!F:F,-(dados!$B:$B=$B5),-(dados!$C:$C&lt;=$C5)))</f>
        <v>166.92968000000002</v>
      </c>
      <c r="G5" s="48">
        <f>ABS(SUMPRODUCT(dados!G:G,-(dados!$B:$B=$B5),-(dados!$C:$C&lt;=$C5)))</f>
        <v>154.98285000000001</v>
      </c>
      <c r="H5" s="48">
        <f>ABS(SUMPRODUCT(dados!H:H,-(dados!$B:$B=$B5),-(dados!$C:$C&lt;=$C5)))</f>
        <v>174.16223000000002</v>
      </c>
      <c r="I5" s="48">
        <f>ABS(SUMPRODUCT(dados!I:I,-(dados!$B:$B=$B5),-(dados!$C:$C&lt;=$C5)))</f>
        <v>209.72372999999999</v>
      </c>
      <c r="J5" s="48">
        <f>ABS(SUMPRODUCT(dados!J:J,-(dados!$B:$B=$B5),-(dados!$C:$C&lt;=$C5)))</f>
        <v>265.46952999999996</v>
      </c>
      <c r="K5" s="48">
        <f>ABS(SUMPRODUCT(dados!K:K,-(dados!$B:$B=$B5),-(dados!$C:$C&lt;=$C5)))</f>
        <v>0</v>
      </c>
      <c r="L5" s="48">
        <f>ABS(SUMPRODUCT(dados!L:L,-(dados!$B:$B=$B5),-(dados!$C:$C&lt;=$C5)))</f>
        <v>165.07987</v>
      </c>
      <c r="M5" s="48">
        <f>ABS(SUMPRODUCT(dados!M:M,-(dados!$B:$B=$B5),-(dados!$C:$C&lt;=$C5)))</f>
        <v>176.22424000000001</v>
      </c>
      <c r="N5" s="48">
        <f>ABS(SUMPRODUCT(dados!N:N,-(dados!$B:$B=$B5),-(dados!$C:$C&lt;=$C5)))</f>
        <v>134.60174000000001</v>
      </c>
      <c r="O5" s="48">
        <f>ABS(SUMPRODUCT(dados!O:O,-(dados!$B:$B=$B5),-(dados!$C:$C&lt;=$C5)))</f>
        <v>198.94682999999998</v>
      </c>
      <c r="P5" s="48">
        <f>ABS(SUMPRODUCT(dados!P:P,-(dados!$B:$B=$B5),-(dados!$C:$C&lt;=$C5)))</f>
        <v>118.58700999999999</v>
      </c>
      <c r="Q5" s="48">
        <f>ABS(SUMPRODUCT(dados!Q:Q,-(dados!$B:$B=$B5),-(dados!$C:$C&lt;=$C5)))</f>
        <v>208.38609</v>
      </c>
      <c r="R5" s="48">
        <f>ABS(SUMPRODUCT(dados!R:R,-(dados!$B:$B=$B5),-(dados!$C:$C&lt;=$C5)))</f>
        <v>143.20085</v>
      </c>
      <c r="S5" s="48">
        <f>ABS(SUMPRODUCT(dados!S:S,-(dados!$B:$B=$B5),-(dados!$C:$C&lt;=$C5)))</f>
        <v>122.57927000000001</v>
      </c>
      <c r="T5" s="48">
        <f>ABS(SUMPRODUCT(dados!T:T,-(dados!$B:$B=$B5),-(dados!$C:$C&lt;=$C5)))</f>
        <v>172.86157</v>
      </c>
      <c r="U5" s="48">
        <f>ABS(SUMPRODUCT(dados!U:U,-(dados!$B:$B=$B5),-(dados!$C:$C&lt;=$C5)))</f>
        <v>246.28811999999999</v>
      </c>
    </row>
    <row r="6" spans="1:21" x14ac:dyDescent="0.25">
      <c r="A6" t="str">
        <f>dados!A6</f>
        <v>20173</v>
      </c>
      <c r="B6">
        <f>dados!B6</f>
        <v>2017</v>
      </c>
      <c r="C6">
        <f>dados!C6</f>
        <v>3</v>
      </c>
      <c r="D6" s="14">
        <f>dados!D6</f>
        <v>42795</v>
      </c>
      <c r="E6" s="48">
        <f>ABS(SUMPRODUCT(dados!E:E,-(dados!$B:$B=$B6),-(dados!$C:$C&lt;=$C6)))</f>
        <v>261.49763999999999</v>
      </c>
      <c r="F6" s="48">
        <f>ABS(SUMPRODUCT(dados!F:F,-(dados!$B:$B=$B6),-(dados!$C:$C&lt;=$C6)))</f>
        <v>254.49689000000001</v>
      </c>
      <c r="G6" s="48">
        <f>ABS(SUMPRODUCT(dados!G:G,-(dados!$B:$B=$B6),-(dados!$C:$C&lt;=$C6)))</f>
        <v>229.67664000000002</v>
      </c>
      <c r="H6" s="48">
        <f>ABS(SUMPRODUCT(dados!H:H,-(dados!$B:$B=$B6),-(dados!$C:$C&lt;=$C6)))</f>
        <v>269.52294000000001</v>
      </c>
      <c r="I6" s="48">
        <f>ABS(SUMPRODUCT(dados!I:I,-(dados!$B:$B=$B6),-(dados!$C:$C&lt;=$C6)))</f>
        <v>329.12434999999999</v>
      </c>
      <c r="J6" s="48">
        <f>ABS(SUMPRODUCT(dados!J:J,-(dados!$B:$B=$B6),-(dados!$C:$C&lt;=$C6)))</f>
        <v>388.53294999999997</v>
      </c>
      <c r="K6" s="48">
        <f>ABS(SUMPRODUCT(dados!K:K,-(dados!$B:$B=$B6),-(dados!$C:$C&lt;=$C6)))</f>
        <v>0</v>
      </c>
      <c r="L6" s="48">
        <f>ABS(SUMPRODUCT(dados!L:L,-(dados!$B:$B=$B6),-(dados!$C:$C&lt;=$C6)))</f>
        <v>255.09174999999999</v>
      </c>
      <c r="M6" s="48">
        <f>ABS(SUMPRODUCT(dados!M:M,-(dados!$B:$B=$B6),-(dados!$C:$C&lt;=$C6)))</f>
        <v>271.77512999999999</v>
      </c>
      <c r="N6" s="48">
        <f>ABS(SUMPRODUCT(dados!N:N,-(dados!$B:$B=$B6),-(dados!$C:$C&lt;=$C6)))</f>
        <v>204.79873000000001</v>
      </c>
      <c r="O6" s="48">
        <f>ABS(SUMPRODUCT(dados!O:O,-(dados!$B:$B=$B6),-(dados!$C:$C&lt;=$C6)))</f>
        <v>298.61062999999996</v>
      </c>
      <c r="P6" s="48">
        <f>ABS(SUMPRODUCT(dados!P:P,-(dados!$B:$B=$B6),-(dados!$C:$C&lt;=$C6)))</f>
        <v>181.98838999999998</v>
      </c>
      <c r="Q6" s="48">
        <f>ABS(SUMPRODUCT(dados!Q:Q,-(dados!$B:$B=$B6),-(dados!$C:$C&lt;=$C6)))</f>
        <v>325.39963999999998</v>
      </c>
      <c r="R6" s="48">
        <f>ABS(SUMPRODUCT(dados!R:R,-(dados!$B:$B=$B6),-(dados!$C:$C&lt;=$C6)))</f>
        <v>222.05035000000001</v>
      </c>
      <c r="S6" s="48">
        <f>ABS(SUMPRODUCT(dados!S:S,-(dados!$B:$B=$B6),-(dados!$C:$C&lt;=$C6)))</f>
        <v>209.13589999999999</v>
      </c>
      <c r="T6" s="48">
        <f>ABS(SUMPRODUCT(dados!T:T,-(dados!$B:$B=$B6),-(dados!$C:$C&lt;=$C6)))</f>
        <v>260.69367999999997</v>
      </c>
      <c r="U6" s="48">
        <f>ABS(SUMPRODUCT(dados!U:U,-(dados!$B:$B=$B6),-(dados!$C:$C&lt;=$C6)))</f>
        <v>372.63592</v>
      </c>
    </row>
    <row r="7" spans="1:21" x14ac:dyDescent="0.25">
      <c r="A7" t="str">
        <f>dados!A7</f>
        <v>20174</v>
      </c>
      <c r="B7">
        <f>dados!B7</f>
        <v>2017</v>
      </c>
      <c r="C7">
        <f>dados!C7</f>
        <v>4</v>
      </c>
      <c r="D7" s="14">
        <f>dados!D7</f>
        <v>42826</v>
      </c>
      <c r="E7" s="48">
        <f>ABS(SUMPRODUCT(dados!E:E,-(dados!$B:$B=$B7),-(dados!$C:$C&lt;=$C7)))</f>
        <v>348.74399</v>
      </c>
      <c r="F7" s="48">
        <f>ABS(SUMPRODUCT(dados!F:F,-(dados!$B:$B=$B7),-(dados!$C:$C&lt;=$C7)))</f>
        <v>337.83616000000001</v>
      </c>
      <c r="G7" s="48">
        <f>ABS(SUMPRODUCT(dados!G:G,-(dados!$B:$B=$B7),-(dados!$C:$C&lt;=$C7)))</f>
        <v>302.16407000000004</v>
      </c>
      <c r="H7" s="48">
        <f>ABS(SUMPRODUCT(dados!H:H,-(dados!$B:$B=$B7),-(dados!$C:$C&lt;=$C7)))</f>
        <v>359.43186000000003</v>
      </c>
      <c r="I7" s="48">
        <f>ABS(SUMPRODUCT(dados!I:I,-(dados!$B:$B=$B7),-(dados!$C:$C&lt;=$C7)))</f>
        <v>420.66292999999996</v>
      </c>
      <c r="J7" s="48">
        <f>ABS(SUMPRODUCT(dados!J:J,-(dados!$B:$B=$B7),-(dados!$C:$C&lt;=$C7)))</f>
        <v>467.11689999999999</v>
      </c>
      <c r="K7" s="48">
        <f>ABS(SUMPRODUCT(dados!K:K,-(dados!$B:$B=$B7),-(dados!$C:$C&lt;=$C7)))</f>
        <v>0</v>
      </c>
      <c r="L7" s="48">
        <f>ABS(SUMPRODUCT(dados!L:L,-(dados!$B:$B=$B7),-(dados!$C:$C&lt;=$C7)))</f>
        <v>347.26862</v>
      </c>
      <c r="M7" s="48">
        <f>ABS(SUMPRODUCT(dados!M:M,-(dados!$B:$B=$B7),-(dados!$C:$C&lt;=$C7)))</f>
        <v>351.25979999999998</v>
      </c>
      <c r="N7" s="48">
        <f>ABS(SUMPRODUCT(dados!N:N,-(dados!$B:$B=$B7),-(dados!$C:$C&lt;=$C7)))</f>
        <v>268.24313000000001</v>
      </c>
      <c r="O7" s="48">
        <f>ABS(SUMPRODUCT(dados!O:O,-(dados!$B:$B=$B7),-(dados!$C:$C&lt;=$C7)))</f>
        <v>410.03392999999994</v>
      </c>
      <c r="P7" s="48">
        <f>ABS(SUMPRODUCT(dados!P:P,-(dados!$B:$B=$B7),-(dados!$C:$C&lt;=$C7)))</f>
        <v>238.63744999999997</v>
      </c>
      <c r="Q7" s="48">
        <f>ABS(SUMPRODUCT(dados!Q:Q,-(dados!$B:$B=$B7),-(dados!$C:$C&lt;=$C7)))</f>
        <v>442.52612999999997</v>
      </c>
      <c r="R7" s="48">
        <f>ABS(SUMPRODUCT(dados!R:R,-(dados!$B:$B=$B7),-(dados!$C:$C&lt;=$C7)))</f>
        <v>296.50116000000003</v>
      </c>
      <c r="S7" s="48">
        <f>ABS(SUMPRODUCT(dados!S:S,-(dados!$B:$B=$B7),-(dados!$C:$C&lt;=$C7)))</f>
        <v>278.14263</v>
      </c>
      <c r="T7" s="48">
        <f>ABS(SUMPRODUCT(dados!T:T,-(dados!$B:$B=$B7),-(dados!$C:$C&lt;=$C7)))</f>
        <v>327.73761999999999</v>
      </c>
      <c r="U7" s="48">
        <f>ABS(SUMPRODUCT(dados!U:U,-(dados!$B:$B=$B7),-(dados!$C:$C&lt;=$C7)))</f>
        <v>495.83521999999999</v>
      </c>
    </row>
    <row r="8" spans="1:21" x14ac:dyDescent="0.25">
      <c r="A8" t="str">
        <f>dados!A8</f>
        <v>20175</v>
      </c>
      <c r="B8">
        <f>dados!B8</f>
        <v>2017</v>
      </c>
      <c r="C8">
        <f>dados!C8</f>
        <v>5</v>
      </c>
      <c r="D8" s="14">
        <f>dados!D8</f>
        <v>42856</v>
      </c>
      <c r="E8" s="48">
        <f>ABS(SUMPRODUCT(dados!E:E,-(dados!$B:$B=$B8),-(dados!$C:$C&lt;=$C8)))</f>
        <v>435.73113000000001</v>
      </c>
      <c r="F8" s="48">
        <f>ABS(SUMPRODUCT(dados!F:F,-(dados!$B:$B=$B8),-(dados!$C:$C&lt;=$C8)))</f>
        <v>424.45956000000001</v>
      </c>
      <c r="G8" s="48">
        <f>ABS(SUMPRODUCT(dados!G:G,-(dados!$B:$B=$B8),-(dados!$C:$C&lt;=$C8)))</f>
        <v>381.02678000000003</v>
      </c>
      <c r="H8" s="48">
        <f>ABS(SUMPRODUCT(dados!H:H,-(dados!$B:$B=$B8),-(dados!$C:$C&lt;=$C8)))</f>
        <v>450.75354000000004</v>
      </c>
      <c r="I8" s="48">
        <f>ABS(SUMPRODUCT(dados!I:I,-(dados!$B:$B=$B8),-(dados!$C:$C&lt;=$C8)))</f>
        <v>514.83318999999995</v>
      </c>
      <c r="J8" s="48">
        <f>ABS(SUMPRODUCT(dados!J:J,-(dados!$B:$B=$B8),-(dados!$C:$C&lt;=$C8)))</f>
        <v>563.50775999999996</v>
      </c>
      <c r="K8" s="48">
        <f>ABS(SUMPRODUCT(dados!K:K,-(dados!$B:$B=$B8),-(dados!$C:$C&lt;=$C8)))</f>
        <v>0</v>
      </c>
      <c r="L8" s="48">
        <f>ABS(SUMPRODUCT(dados!L:L,-(dados!$B:$B=$B8),-(dados!$C:$C&lt;=$C8)))</f>
        <v>435.96627000000001</v>
      </c>
      <c r="M8" s="48">
        <f>ABS(SUMPRODUCT(dados!M:M,-(dados!$B:$B=$B8),-(dados!$C:$C&lt;=$C8)))</f>
        <v>438.73957999999999</v>
      </c>
      <c r="N8" s="48">
        <f>ABS(SUMPRODUCT(dados!N:N,-(dados!$B:$B=$B8),-(dados!$C:$C&lt;=$C8)))</f>
        <v>326.40998999999999</v>
      </c>
      <c r="O8" s="48">
        <f>ABS(SUMPRODUCT(dados!O:O,-(dados!$B:$B=$B8),-(dados!$C:$C&lt;=$C8)))</f>
        <v>517.38284999999996</v>
      </c>
      <c r="P8" s="48">
        <f>ABS(SUMPRODUCT(dados!P:P,-(dados!$B:$B=$B8),-(dados!$C:$C&lt;=$C8)))</f>
        <v>302.94900999999999</v>
      </c>
      <c r="Q8" s="48">
        <f>ABS(SUMPRODUCT(dados!Q:Q,-(dados!$B:$B=$B8),-(dados!$C:$C&lt;=$C8)))</f>
        <v>550.46848999999997</v>
      </c>
      <c r="R8" s="48">
        <f>ABS(SUMPRODUCT(dados!R:R,-(dados!$B:$B=$B8),-(dados!$C:$C&lt;=$C8)))</f>
        <v>372.97234000000003</v>
      </c>
      <c r="S8" s="48">
        <f>ABS(SUMPRODUCT(dados!S:S,-(dados!$B:$B=$B8),-(dados!$C:$C&lt;=$C8)))</f>
        <v>366.49725999999998</v>
      </c>
      <c r="T8" s="48">
        <f>ABS(SUMPRODUCT(dados!T:T,-(dados!$B:$B=$B8),-(dados!$C:$C&lt;=$C8)))</f>
        <v>422.65778</v>
      </c>
      <c r="U8" s="48">
        <f>ABS(SUMPRODUCT(dados!U:U,-(dados!$B:$B=$B8),-(dados!$C:$C&lt;=$C8)))</f>
        <v>631.58190999999999</v>
      </c>
    </row>
    <row r="9" spans="1:21" x14ac:dyDescent="0.25">
      <c r="A9" t="str">
        <f>dados!A9</f>
        <v>20176</v>
      </c>
      <c r="B9">
        <f>dados!B9</f>
        <v>2017</v>
      </c>
      <c r="C9">
        <f>dados!C9</f>
        <v>6</v>
      </c>
      <c r="D9" s="14">
        <f>dados!D9</f>
        <v>42887</v>
      </c>
      <c r="E9" s="48">
        <f>ABS(SUMPRODUCT(dados!E:E,-(dados!$B:$B=$B9),-(dados!$C:$C&lt;=$C9)))</f>
        <v>523.66737999999998</v>
      </c>
      <c r="F9" s="48">
        <f>ABS(SUMPRODUCT(dados!F:F,-(dados!$B:$B=$B9),-(dados!$C:$C&lt;=$C9)))</f>
        <v>510.94729000000001</v>
      </c>
      <c r="G9" s="48">
        <f>ABS(SUMPRODUCT(dados!G:G,-(dados!$B:$B=$B9),-(dados!$C:$C&lt;=$C9)))</f>
        <v>458.47353000000004</v>
      </c>
      <c r="H9" s="48">
        <f>ABS(SUMPRODUCT(dados!H:H,-(dados!$B:$B=$B9),-(dados!$C:$C&lt;=$C9)))</f>
        <v>542.71463000000006</v>
      </c>
      <c r="I9" s="48">
        <f>ABS(SUMPRODUCT(dados!I:I,-(dados!$B:$B=$B9),-(dados!$C:$C&lt;=$C9)))</f>
        <v>602.56625999999994</v>
      </c>
      <c r="J9" s="48">
        <f>ABS(SUMPRODUCT(dados!J:J,-(dados!$B:$B=$B9),-(dados!$C:$C&lt;=$C9)))</f>
        <v>667.30214000000001</v>
      </c>
      <c r="K9" s="48">
        <f>ABS(SUMPRODUCT(dados!K:K,-(dados!$B:$B=$B9),-(dados!$C:$C&lt;=$C9)))</f>
        <v>0</v>
      </c>
      <c r="L9" s="48">
        <f>ABS(SUMPRODUCT(dados!L:L,-(dados!$B:$B=$B9),-(dados!$C:$C&lt;=$C9)))</f>
        <v>531.02404000000001</v>
      </c>
      <c r="M9" s="48">
        <f>ABS(SUMPRODUCT(dados!M:M,-(dados!$B:$B=$B9),-(dados!$C:$C&lt;=$C9)))</f>
        <v>533.13328000000001</v>
      </c>
      <c r="N9" s="48">
        <f>ABS(SUMPRODUCT(dados!N:N,-(dados!$B:$B=$B9),-(dados!$C:$C&lt;=$C9)))</f>
        <v>387.80520000000001</v>
      </c>
      <c r="O9" s="48">
        <f>ABS(SUMPRODUCT(dados!O:O,-(dados!$B:$B=$B9),-(dados!$C:$C&lt;=$C9)))</f>
        <v>635.23741999999993</v>
      </c>
      <c r="P9" s="48">
        <f>ABS(SUMPRODUCT(dados!P:P,-(dados!$B:$B=$B9),-(dados!$C:$C&lt;=$C9)))</f>
        <v>364.34942999999998</v>
      </c>
      <c r="Q9" s="48">
        <f>ABS(SUMPRODUCT(dados!Q:Q,-(dados!$B:$B=$B9),-(dados!$C:$C&lt;=$C9)))</f>
        <v>655.23768999999993</v>
      </c>
      <c r="R9" s="48">
        <f>ABS(SUMPRODUCT(dados!R:R,-(dados!$B:$B=$B9),-(dados!$C:$C&lt;=$C9)))</f>
        <v>456.05429000000004</v>
      </c>
      <c r="S9" s="48">
        <f>ABS(SUMPRODUCT(dados!S:S,-(dados!$B:$B=$B9),-(dados!$C:$C&lt;=$C9)))</f>
        <v>429.97609</v>
      </c>
      <c r="T9" s="48">
        <f>ABS(SUMPRODUCT(dados!T:T,-(dados!$B:$B=$B9),-(dados!$C:$C&lt;=$C9)))</f>
        <v>516.44965000000002</v>
      </c>
      <c r="U9" s="48">
        <f>ABS(SUMPRODUCT(dados!U:U,-(dados!$B:$B=$B9),-(dados!$C:$C&lt;=$C9)))</f>
        <v>761.90000999999995</v>
      </c>
    </row>
    <row r="10" spans="1:21" x14ac:dyDescent="0.25">
      <c r="A10" t="str">
        <f>dados!A10</f>
        <v>20177</v>
      </c>
      <c r="B10">
        <f>dados!B10</f>
        <v>2017</v>
      </c>
      <c r="C10">
        <f>dados!C10</f>
        <v>7</v>
      </c>
      <c r="D10" s="14">
        <f>dados!D10</f>
        <v>42917</v>
      </c>
      <c r="E10" s="48">
        <f>ABS(SUMPRODUCT(dados!E:E,-(dados!$B:$B=$B10),-(dados!$C:$C&lt;=$C10)))</f>
        <v>604.68231000000003</v>
      </c>
      <c r="F10" s="48">
        <f>ABS(SUMPRODUCT(dados!F:F,-(dados!$B:$B=$B10),-(dados!$C:$C&lt;=$C10)))</f>
        <v>594.63740000000007</v>
      </c>
      <c r="G10" s="48">
        <f>ABS(SUMPRODUCT(dados!G:G,-(dados!$B:$B=$B10),-(dados!$C:$C&lt;=$C10)))</f>
        <v>540.81975</v>
      </c>
      <c r="H10" s="48">
        <f>ABS(SUMPRODUCT(dados!H:H,-(dados!$B:$B=$B10),-(dados!$C:$C&lt;=$C10)))</f>
        <v>627.21832000000006</v>
      </c>
      <c r="I10" s="48">
        <f>ABS(SUMPRODUCT(dados!I:I,-(dados!$B:$B=$B10),-(dados!$C:$C&lt;=$C10)))</f>
        <v>698.1902399999999</v>
      </c>
      <c r="J10" s="48">
        <f>ABS(SUMPRODUCT(dados!J:J,-(dados!$B:$B=$B10),-(dados!$C:$C&lt;=$C10)))</f>
        <v>759.81587000000002</v>
      </c>
      <c r="K10" s="48">
        <f>ABS(SUMPRODUCT(dados!K:K,-(dados!$B:$B=$B10),-(dados!$C:$C&lt;=$C10)))</f>
        <v>0</v>
      </c>
      <c r="L10" s="48">
        <f>ABS(SUMPRODUCT(dados!L:L,-(dados!$B:$B=$B10),-(dados!$C:$C&lt;=$C10)))</f>
        <v>602.63556000000005</v>
      </c>
      <c r="M10" s="48">
        <f>ABS(SUMPRODUCT(dados!M:M,-(dados!$B:$B=$B10),-(dados!$C:$C&lt;=$C10)))</f>
        <v>634.53489999999999</v>
      </c>
      <c r="N10" s="48">
        <f>ABS(SUMPRODUCT(dados!N:N,-(dados!$B:$B=$B10),-(dados!$C:$C&lt;=$C10)))</f>
        <v>437.98428000000001</v>
      </c>
      <c r="O10" s="48">
        <f>ABS(SUMPRODUCT(dados!O:O,-(dados!$B:$B=$B10),-(dados!$C:$C&lt;=$C10)))</f>
        <v>772.39195999999993</v>
      </c>
      <c r="P10" s="48">
        <f>ABS(SUMPRODUCT(dados!P:P,-(dados!$B:$B=$B10),-(dados!$C:$C&lt;=$C10)))</f>
        <v>431.95727999999997</v>
      </c>
      <c r="Q10" s="48">
        <f>ABS(SUMPRODUCT(dados!Q:Q,-(dados!$B:$B=$B10),-(dados!$C:$C&lt;=$C10)))</f>
        <v>750.26356999999996</v>
      </c>
      <c r="R10" s="48">
        <f>ABS(SUMPRODUCT(dados!R:R,-(dados!$B:$B=$B10),-(dados!$C:$C&lt;=$C10)))</f>
        <v>535.91390000000001</v>
      </c>
      <c r="S10" s="48">
        <f>ABS(SUMPRODUCT(dados!S:S,-(dados!$B:$B=$B10),-(dados!$C:$C&lt;=$C10)))</f>
        <v>517.82781</v>
      </c>
      <c r="T10" s="48">
        <f>ABS(SUMPRODUCT(dados!T:T,-(dados!$B:$B=$B10),-(dados!$C:$C&lt;=$C10)))</f>
        <v>600.36378999999999</v>
      </c>
      <c r="U10" s="48">
        <f>ABS(SUMPRODUCT(dados!U:U,-(dados!$B:$B=$B10),-(dados!$C:$C&lt;=$C10)))</f>
        <v>894.89729999999997</v>
      </c>
    </row>
    <row r="11" spans="1:21" x14ac:dyDescent="0.25">
      <c r="A11" t="str">
        <f>dados!A11</f>
        <v>20178</v>
      </c>
      <c r="B11">
        <f>dados!B11</f>
        <v>2017</v>
      </c>
      <c r="C11">
        <f>dados!C11</f>
        <v>8</v>
      </c>
      <c r="D11" s="14">
        <f>dados!D11</f>
        <v>42948</v>
      </c>
      <c r="E11" s="48">
        <f>ABS(SUMPRODUCT(dados!E:E,-(dados!$B:$B=$B11),-(dados!$C:$C&lt;=$C11)))</f>
        <v>690.75483000000008</v>
      </c>
      <c r="F11" s="48">
        <f>ABS(SUMPRODUCT(dados!F:F,-(dados!$B:$B=$B11),-(dados!$C:$C&lt;=$C11)))</f>
        <v>683.10460000000012</v>
      </c>
      <c r="G11" s="48">
        <f>ABS(SUMPRODUCT(dados!G:G,-(dados!$B:$B=$B11),-(dados!$C:$C&lt;=$C11)))</f>
        <v>616.11825999999996</v>
      </c>
      <c r="H11" s="48">
        <f>ABS(SUMPRODUCT(dados!H:H,-(dados!$B:$B=$B11),-(dados!$C:$C&lt;=$C11)))</f>
        <v>723.65776000000005</v>
      </c>
      <c r="I11" s="48">
        <f>ABS(SUMPRODUCT(dados!I:I,-(dados!$B:$B=$B11),-(dados!$C:$C&lt;=$C11)))</f>
        <v>807.25173999999993</v>
      </c>
      <c r="J11" s="48">
        <f>ABS(SUMPRODUCT(dados!J:J,-(dados!$B:$B=$B11),-(dados!$C:$C&lt;=$C11)))</f>
        <v>869.53047000000004</v>
      </c>
      <c r="K11" s="48">
        <f>ABS(SUMPRODUCT(dados!K:K,-(dados!$B:$B=$B11),-(dados!$C:$C&lt;=$C11)))</f>
        <v>0</v>
      </c>
      <c r="L11" s="48">
        <f>ABS(SUMPRODUCT(dados!L:L,-(dados!$B:$B=$B11),-(dados!$C:$C&lt;=$C11)))</f>
        <v>680.36472000000003</v>
      </c>
      <c r="M11" s="48">
        <f>ABS(SUMPRODUCT(dados!M:M,-(dados!$B:$B=$B11),-(dados!$C:$C&lt;=$C11)))</f>
        <v>747.10411999999997</v>
      </c>
      <c r="N11" s="48">
        <f>ABS(SUMPRODUCT(dados!N:N,-(dados!$B:$B=$B11),-(dados!$C:$C&lt;=$C11)))</f>
        <v>530.99369000000002</v>
      </c>
      <c r="O11" s="48">
        <f>ABS(SUMPRODUCT(dados!O:O,-(dados!$B:$B=$B11),-(dados!$C:$C&lt;=$C11)))</f>
        <v>916.4632499999999</v>
      </c>
      <c r="P11" s="48">
        <f>ABS(SUMPRODUCT(dados!P:P,-(dados!$B:$B=$B11),-(dados!$C:$C&lt;=$C11)))</f>
        <v>502.76951999999994</v>
      </c>
      <c r="Q11" s="48">
        <f>ABS(SUMPRODUCT(dados!Q:Q,-(dados!$B:$B=$B11),-(dados!$C:$C&lt;=$C11)))</f>
        <v>862.6743899999999</v>
      </c>
      <c r="R11" s="48">
        <f>ABS(SUMPRODUCT(dados!R:R,-(dados!$B:$B=$B11),-(dados!$C:$C&lt;=$C11)))</f>
        <v>601.74390000000005</v>
      </c>
      <c r="S11" s="48">
        <f>ABS(SUMPRODUCT(dados!S:S,-(dados!$B:$B=$B11),-(dados!$C:$C&lt;=$C11)))</f>
        <v>636.11946</v>
      </c>
      <c r="T11" s="48">
        <f>ABS(SUMPRODUCT(dados!T:T,-(dados!$B:$B=$B11),-(dados!$C:$C&lt;=$C11)))</f>
        <v>692.95416999999998</v>
      </c>
      <c r="U11" s="48">
        <f>ABS(SUMPRODUCT(dados!U:U,-(dados!$B:$B=$B11),-(dados!$C:$C&lt;=$C11)))</f>
        <v>1022.5086699999999</v>
      </c>
    </row>
    <row r="12" spans="1:21" x14ac:dyDescent="0.25">
      <c r="A12" t="str">
        <f>dados!A12</f>
        <v>20179</v>
      </c>
      <c r="B12">
        <f>dados!B12</f>
        <v>2017</v>
      </c>
      <c r="C12">
        <f>dados!C12</f>
        <v>9</v>
      </c>
      <c r="D12" s="14">
        <f>dados!D12</f>
        <v>42979</v>
      </c>
      <c r="E12" s="48">
        <f>ABS(SUMPRODUCT(dados!E:E,-(dados!$B:$B=$B12),-(dados!$C:$C&lt;=$C12)))</f>
        <v>782.60327000000007</v>
      </c>
      <c r="F12" s="48">
        <f>ABS(SUMPRODUCT(dados!F:F,-(dados!$B:$B=$B12),-(dados!$C:$C&lt;=$C12)))</f>
        <v>774.50700000000006</v>
      </c>
      <c r="G12" s="48">
        <f>ABS(SUMPRODUCT(dados!G:G,-(dados!$B:$B=$B12),-(dados!$C:$C&lt;=$C12)))</f>
        <v>694.10667999999998</v>
      </c>
      <c r="H12" s="48">
        <f>ABS(SUMPRODUCT(dados!H:H,-(dados!$B:$B=$B12),-(dados!$C:$C&lt;=$C12)))</f>
        <v>823.18091000000004</v>
      </c>
      <c r="I12" s="48">
        <f>ABS(SUMPRODUCT(dados!I:I,-(dados!$B:$B=$B12),-(dados!$C:$C&lt;=$C12)))</f>
        <v>915.40496999999993</v>
      </c>
      <c r="J12" s="48">
        <f>ABS(SUMPRODUCT(dados!J:J,-(dados!$B:$B=$B12),-(dados!$C:$C&lt;=$C12)))</f>
        <v>993.02084000000002</v>
      </c>
      <c r="K12" s="48">
        <f>ABS(SUMPRODUCT(dados!K:K,-(dados!$B:$B=$B12),-(dados!$C:$C&lt;=$C12)))</f>
        <v>0</v>
      </c>
      <c r="L12" s="48">
        <f>ABS(SUMPRODUCT(dados!L:L,-(dados!$B:$B=$B12),-(dados!$C:$C&lt;=$C12)))</f>
        <v>772.43624999999997</v>
      </c>
      <c r="M12" s="48">
        <f>ABS(SUMPRODUCT(dados!M:M,-(dados!$B:$B=$B12),-(dados!$C:$C&lt;=$C12)))</f>
        <v>866.03468999999996</v>
      </c>
      <c r="N12" s="48">
        <f>ABS(SUMPRODUCT(dados!N:N,-(dados!$B:$B=$B12),-(dados!$C:$C&lt;=$C12)))</f>
        <v>622.90421000000003</v>
      </c>
      <c r="O12" s="48">
        <f>ABS(SUMPRODUCT(dados!O:O,-(dados!$B:$B=$B12),-(dados!$C:$C&lt;=$C12)))</f>
        <v>1037.0846099999999</v>
      </c>
      <c r="P12" s="48">
        <f>ABS(SUMPRODUCT(dados!P:P,-(dados!$B:$B=$B12),-(dados!$C:$C&lt;=$C12)))</f>
        <v>565.57400999999993</v>
      </c>
      <c r="Q12" s="48">
        <f>ABS(SUMPRODUCT(dados!Q:Q,-(dados!$B:$B=$B12),-(dados!$C:$C&lt;=$C12)))</f>
        <v>971.16803999999991</v>
      </c>
      <c r="R12" s="48">
        <f>ABS(SUMPRODUCT(dados!R:R,-(dados!$B:$B=$B12),-(dados!$C:$C&lt;=$C12)))</f>
        <v>668.92410000000007</v>
      </c>
      <c r="S12" s="48">
        <f>ABS(SUMPRODUCT(dados!S:S,-(dados!$B:$B=$B12),-(dados!$C:$C&lt;=$C12)))</f>
        <v>740.02314000000001</v>
      </c>
      <c r="T12" s="48">
        <f>ABS(SUMPRODUCT(dados!T:T,-(dados!$B:$B=$B12),-(dados!$C:$C&lt;=$C12)))</f>
        <v>761.67998</v>
      </c>
      <c r="U12" s="48">
        <f>ABS(SUMPRODUCT(dados!U:U,-(dados!$B:$B=$B12),-(dados!$C:$C&lt;=$C12)))</f>
        <v>1145.93219</v>
      </c>
    </row>
    <row r="13" spans="1:21" x14ac:dyDescent="0.25">
      <c r="A13" t="str">
        <f>dados!A13</f>
        <v>201710</v>
      </c>
      <c r="B13">
        <f>dados!B13</f>
        <v>2017</v>
      </c>
      <c r="C13">
        <f>dados!C13</f>
        <v>10</v>
      </c>
      <c r="D13" s="14">
        <f>dados!D13</f>
        <v>43009</v>
      </c>
      <c r="E13" s="48">
        <f>ABS(SUMPRODUCT(dados!E:E,-(dados!$B:$B=$B13),-(dados!$C:$C&lt;=$C13)))</f>
        <v>875.31233000000009</v>
      </c>
      <c r="F13" s="48">
        <f>ABS(SUMPRODUCT(dados!F:F,-(dados!$B:$B=$B13),-(dados!$C:$C&lt;=$C13)))</f>
        <v>872.70108000000005</v>
      </c>
      <c r="G13" s="48">
        <f>ABS(SUMPRODUCT(dados!G:G,-(dados!$B:$B=$B13),-(dados!$C:$C&lt;=$C13)))</f>
        <v>775.87090000000001</v>
      </c>
      <c r="H13" s="48">
        <f>ABS(SUMPRODUCT(dados!H:H,-(dados!$B:$B=$B13),-(dados!$C:$C&lt;=$C13)))</f>
        <v>931.32153000000005</v>
      </c>
      <c r="I13" s="48">
        <f>ABS(SUMPRODUCT(dados!I:I,-(dados!$B:$B=$B13),-(dados!$C:$C&lt;=$C13)))</f>
        <v>1030.60869</v>
      </c>
      <c r="J13" s="48">
        <f>ABS(SUMPRODUCT(dados!J:J,-(dados!$B:$B=$B13),-(dados!$C:$C&lt;=$C13)))</f>
        <v>1149.1177400000001</v>
      </c>
      <c r="K13" s="48">
        <f>ABS(SUMPRODUCT(dados!K:K,-(dados!$B:$B=$B13),-(dados!$C:$C&lt;=$C13)))</f>
        <v>0</v>
      </c>
      <c r="L13" s="48">
        <f>ABS(SUMPRODUCT(dados!L:L,-(dados!$B:$B=$B13),-(dados!$C:$C&lt;=$C13)))</f>
        <v>877.79558999999995</v>
      </c>
      <c r="M13" s="48">
        <f>ABS(SUMPRODUCT(dados!M:M,-(dados!$B:$B=$B13),-(dados!$C:$C&lt;=$C13)))</f>
        <v>980.44216999999992</v>
      </c>
      <c r="N13" s="48">
        <f>ABS(SUMPRODUCT(dados!N:N,-(dados!$B:$B=$B13),-(dados!$C:$C&lt;=$C13)))</f>
        <v>688.50494000000003</v>
      </c>
      <c r="O13" s="48">
        <f>ABS(SUMPRODUCT(dados!O:O,-(dados!$B:$B=$B13),-(dados!$C:$C&lt;=$C13)))</f>
        <v>1161.5486599999999</v>
      </c>
      <c r="P13" s="48">
        <f>ABS(SUMPRODUCT(dados!P:P,-(dados!$B:$B=$B13),-(dados!$C:$C&lt;=$C13)))</f>
        <v>625.89694999999995</v>
      </c>
      <c r="Q13" s="48">
        <f>ABS(SUMPRODUCT(dados!Q:Q,-(dados!$B:$B=$B13),-(dados!$C:$C&lt;=$C13)))</f>
        <v>1090.8139999999999</v>
      </c>
      <c r="R13" s="48">
        <f>ABS(SUMPRODUCT(dados!R:R,-(dados!$B:$B=$B13),-(dados!$C:$C&lt;=$C13)))</f>
        <v>743.30200000000002</v>
      </c>
      <c r="S13" s="48">
        <f>ABS(SUMPRODUCT(dados!S:S,-(dados!$B:$B=$B13),-(dados!$C:$C&lt;=$C13)))</f>
        <v>854.26286000000005</v>
      </c>
      <c r="T13" s="48">
        <f>ABS(SUMPRODUCT(dados!T:T,-(dados!$B:$B=$B13),-(dados!$C:$C&lt;=$C13)))</f>
        <v>828.34286999999995</v>
      </c>
      <c r="U13" s="48">
        <f>ABS(SUMPRODUCT(dados!U:U,-(dados!$B:$B=$B13),-(dados!$C:$C&lt;=$C13)))</f>
        <v>1286.1004399999999</v>
      </c>
    </row>
    <row r="14" spans="1:21" x14ac:dyDescent="0.25">
      <c r="A14" t="str">
        <f>dados!A14</f>
        <v>201711</v>
      </c>
      <c r="B14">
        <f>dados!B14</f>
        <v>2017</v>
      </c>
      <c r="C14">
        <f>dados!C14</f>
        <v>11</v>
      </c>
      <c r="D14" s="14">
        <f>dados!D14</f>
        <v>43040</v>
      </c>
      <c r="E14" s="48">
        <f>ABS(SUMPRODUCT(dados!E:E,-(dados!$B:$B=$B14),-(dados!$C:$C&lt;=$C14)))</f>
        <v>966.55167000000006</v>
      </c>
      <c r="F14" s="48">
        <f>ABS(SUMPRODUCT(dados!F:F,-(dados!$B:$B=$B14),-(dados!$C:$C&lt;=$C14)))</f>
        <v>965.99081000000001</v>
      </c>
      <c r="G14" s="48">
        <f>ABS(SUMPRODUCT(dados!G:G,-(dados!$B:$B=$B14),-(dados!$C:$C&lt;=$C14)))</f>
        <v>854.18638999999996</v>
      </c>
      <c r="H14" s="48">
        <f>ABS(SUMPRODUCT(dados!H:H,-(dados!$B:$B=$B14),-(dados!$C:$C&lt;=$C14)))</f>
        <v>1033.6765800000001</v>
      </c>
      <c r="I14" s="48">
        <f>ABS(SUMPRODUCT(dados!I:I,-(dados!$B:$B=$B14),-(dados!$C:$C&lt;=$C14)))</f>
        <v>1144.84808</v>
      </c>
      <c r="J14" s="48">
        <f>ABS(SUMPRODUCT(dados!J:J,-(dados!$B:$B=$B14),-(dados!$C:$C&lt;=$C14)))</f>
        <v>1305.9937500000001</v>
      </c>
      <c r="K14" s="48">
        <f>ABS(SUMPRODUCT(dados!K:K,-(dados!$B:$B=$B14),-(dados!$C:$C&lt;=$C14)))</f>
        <v>0</v>
      </c>
      <c r="L14" s="48">
        <f>ABS(SUMPRODUCT(dados!L:L,-(dados!$B:$B=$B14),-(dados!$C:$C&lt;=$C14)))</f>
        <v>967.17832999999996</v>
      </c>
      <c r="M14" s="48">
        <f>ABS(SUMPRODUCT(dados!M:M,-(dados!$B:$B=$B14),-(dados!$C:$C&lt;=$C14)))</f>
        <v>1104.40761</v>
      </c>
      <c r="N14" s="48">
        <f>ABS(SUMPRODUCT(dados!N:N,-(dados!$B:$B=$B14),-(dados!$C:$C&lt;=$C14)))</f>
        <v>773.72126000000003</v>
      </c>
      <c r="O14" s="48">
        <f>ABS(SUMPRODUCT(dados!O:O,-(dados!$B:$B=$B14),-(dados!$C:$C&lt;=$C14)))</f>
        <v>1279.4574</v>
      </c>
      <c r="P14" s="48">
        <f>ABS(SUMPRODUCT(dados!P:P,-(dados!$B:$B=$B14),-(dados!$C:$C&lt;=$C14)))</f>
        <v>690.26844999999992</v>
      </c>
      <c r="Q14" s="48">
        <f>ABS(SUMPRODUCT(dados!Q:Q,-(dados!$B:$B=$B14),-(dados!$C:$C&lt;=$C14)))</f>
        <v>1210.4622499999998</v>
      </c>
      <c r="R14" s="48">
        <f>ABS(SUMPRODUCT(dados!R:R,-(dados!$B:$B=$B14),-(dados!$C:$C&lt;=$C14)))</f>
        <v>822.35481000000004</v>
      </c>
      <c r="S14" s="48">
        <f>ABS(SUMPRODUCT(dados!S:S,-(dados!$B:$B=$B14),-(dados!$C:$C&lt;=$C14)))</f>
        <v>963.16651999999999</v>
      </c>
      <c r="T14" s="48">
        <f>ABS(SUMPRODUCT(dados!T:T,-(dados!$B:$B=$B14),-(dados!$C:$C&lt;=$C14)))</f>
        <v>896.56047999999998</v>
      </c>
      <c r="U14" s="48">
        <f>ABS(SUMPRODUCT(dados!U:U,-(dados!$B:$B=$B14),-(dados!$C:$C&lt;=$C14)))</f>
        <v>1416.19039</v>
      </c>
    </row>
    <row r="15" spans="1:21" x14ac:dyDescent="0.25">
      <c r="A15" t="str">
        <f>dados!A15</f>
        <v>201712</v>
      </c>
      <c r="B15">
        <f>dados!B15</f>
        <v>2017</v>
      </c>
      <c r="C15">
        <f>dados!C15</f>
        <v>12</v>
      </c>
      <c r="D15" s="14">
        <f>dados!D15</f>
        <v>43070</v>
      </c>
      <c r="E15" s="48">
        <f>ABS(SUMPRODUCT(dados!E:E,-(dados!$B:$B=$B15),-(dados!$C:$C&lt;=$C15)))</f>
        <v>1056.9584300000001</v>
      </c>
      <c r="F15" s="48">
        <f>ABS(SUMPRODUCT(dados!F:F,-(dados!$B:$B=$B15),-(dados!$C:$C&lt;=$C15)))</f>
        <v>1057.2550799999999</v>
      </c>
      <c r="G15" s="48">
        <f>ABS(SUMPRODUCT(dados!G:G,-(dados!$B:$B=$B15),-(dados!$C:$C&lt;=$C15)))</f>
        <v>932.13302999999996</v>
      </c>
      <c r="H15" s="48">
        <f>ABS(SUMPRODUCT(dados!H:H,-(dados!$B:$B=$B15),-(dados!$C:$C&lt;=$C15)))</f>
        <v>1133.00326</v>
      </c>
      <c r="I15" s="48">
        <f>ABS(SUMPRODUCT(dados!I:I,-(dados!$B:$B=$B15),-(dados!$C:$C&lt;=$C15)))</f>
        <v>1267.7397599999999</v>
      </c>
      <c r="J15" s="48">
        <f>ABS(SUMPRODUCT(dados!J:J,-(dados!$B:$B=$B15),-(dados!$C:$C&lt;=$C15)))</f>
        <v>1466.83609</v>
      </c>
      <c r="K15" s="48">
        <f>ABS(SUMPRODUCT(dados!K:K,-(dados!$B:$B=$B15),-(dados!$C:$C&lt;=$C15)))</f>
        <v>0</v>
      </c>
      <c r="L15" s="48">
        <f>ABS(SUMPRODUCT(dados!L:L,-(dados!$B:$B=$B15),-(dados!$C:$C&lt;=$C15)))</f>
        <v>1067.0569</v>
      </c>
      <c r="M15" s="48">
        <f>ABS(SUMPRODUCT(dados!M:M,-(dados!$B:$B=$B15),-(dados!$C:$C&lt;=$C15)))</f>
        <v>1210.31989</v>
      </c>
      <c r="N15" s="48">
        <f>ABS(SUMPRODUCT(dados!N:N,-(dados!$B:$B=$B15),-(dados!$C:$C&lt;=$C15)))</f>
        <v>840.32563000000005</v>
      </c>
      <c r="O15" s="48">
        <f>ABS(SUMPRODUCT(dados!O:O,-(dados!$B:$B=$B15),-(dados!$C:$C&lt;=$C15)))</f>
        <v>1382.07627</v>
      </c>
      <c r="P15" s="48">
        <f>ABS(SUMPRODUCT(dados!P:P,-(dados!$B:$B=$B15),-(dados!$C:$C&lt;=$C15)))</f>
        <v>746.06859999999995</v>
      </c>
      <c r="Q15" s="48">
        <f>ABS(SUMPRODUCT(dados!Q:Q,-(dados!$B:$B=$B15),-(dados!$C:$C&lt;=$C15)))</f>
        <v>1317.3145599999998</v>
      </c>
      <c r="R15" s="48">
        <f>ABS(SUMPRODUCT(dados!R:R,-(dados!$B:$B=$B15),-(dados!$C:$C&lt;=$C15)))</f>
        <v>888.59375</v>
      </c>
      <c r="S15" s="48">
        <f>ABS(SUMPRODUCT(dados!S:S,-(dados!$B:$B=$B15),-(dados!$C:$C&lt;=$C15)))</f>
        <v>1047.8825899999999</v>
      </c>
      <c r="T15" s="48">
        <f>ABS(SUMPRODUCT(dados!T:T,-(dados!$B:$B=$B15),-(dados!$C:$C&lt;=$C15)))</f>
        <v>949.46385999999995</v>
      </c>
      <c r="U15" s="48">
        <f>ABS(SUMPRODUCT(dados!U:U,-(dados!$B:$B=$B15),-(dados!$C:$C&lt;=$C15)))</f>
        <v>1549.1243999999999</v>
      </c>
    </row>
    <row r="16" spans="1:21" x14ac:dyDescent="0.25">
      <c r="A16" t="str">
        <f>dados!A16</f>
        <v>20181</v>
      </c>
      <c r="B16">
        <f>dados!B16</f>
        <v>2018</v>
      </c>
      <c r="C16">
        <f>dados!C16</f>
        <v>1</v>
      </c>
      <c r="D16" s="14">
        <f>dados!D16</f>
        <v>43101</v>
      </c>
      <c r="E16" s="48">
        <f>ABS(SUMPRODUCT(dados!E:E,-(dados!$B:$B=$B16),-(dados!$C:$C&lt;=$C16)))</f>
        <v>90.346419999999995</v>
      </c>
      <c r="F16" s="48">
        <f>ABS(SUMPRODUCT(dados!F:F,-(dados!$B:$B=$B16),-(dados!$C:$C&lt;=$C16)))</f>
        <v>91.447999999999993</v>
      </c>
      <c r="G16" s="48">
        <f>ABS(SUMPRODUCT(dados!G:G,-(dados!$B:$B=$B16),-(dados!$C:$C&lt;=$C16)))</f>
        <v>80.235150000000004</v>
      </c>
      <c r="H16" s="48">
        <f>ABS(SUMPRODUCT(dados!H:H,-(dados!$B:$B=$B16),-(dados!$C:$C&lt;=$C16)))</f>
        <v>98.236180000000004</v>
      </c>
      <c r="I16" s="48">
        <f>ABS(SUMPRODUCT(dados!I:I,-(dados!$B:$B=$B16),-(dados!$C:$C&lt;=$C16)))</f>
        <v>129.34644</v>
      </c>
      <c r="J16" s="48">
        <f>ABS(SUMPRODUCT(dados!J:J,-(dados!$B:$B=$B16),-(dados!$C:$C&lt;=$C16)))</f>
        <v>131.32400000000001</v>
      </c>
      <c r="K16" s="48">
        <f>ABS(SUMPRODUCT(dados!K:K,-(dados!$B:$B=$B16),-(dados!$C:$C&lt;=$C16)))</f>
        <v>0</v>
      </c>
      <c r="L16" s="48">
        <f>ABS(SUMPRODUCT(dados!L:L,-(dados!$B:$B=$B16),-(dados!$C:$C&lt;=$C16)))</f>
        <v>95.037130000000005</v>
      </c>
      <c r="M16" s="48">
        <f>ABS(SUMPRODUCT(dados!M:M,-(dados!$B:$B=$B16),-(dados!$C:$C&lt;=$C16)))</f>
        <v>93.534170000000003</v>
      </c>
      <c r="N16" s="48">
        <f>ABS(SUMPRODUCT(dados!N:N,-(dados!$B:$B=$B16),-(dados!$C:$C&lt;=$C16)))</f>
        <v>63.192520000000002</v>
      </c>
      <c r="O16" s="48">
        <f>ABS(SUMPRODUCT(dados!O:O,-(dados!$B:$B=$B16),-(dados!$C:$C&lt;=$C16)))</f>
        <v>111.94942</v>
      </c>
      <c r="P16" s="48">
        <f>ABS(SUMPRODUCT(dados!P:P,-(dados!$B:$B=$B16),-(dados!$C:$C&lt;=$C16)))</f>
        <v>66.050229999999999</v>
      </c>
      <c r="Q16" s="48">
        <f>ABS(SUMPRODUCT(dados!Q:Q,-(dados!$B:$B=$B16),-(dados!$C:$C&lt;=$C16)))</f>
        <v>119.39534</v>
      </c>
      <c r="R16" s="48">
        <f>ABS(SUMPRODUCT(dados!R:R,-(dados!$B:$B=$B16),-(dados!$C:$C&lt;=$C16)))</f>
        <v>63.323740000000001</v>
      </c>
      <c r="S16" s="48">
        <f>ABS(SUMPRODUCT(dados!S:S,-(dados!$B:$B=$B16),-(dados!$C:$C&lt;=$C16)))</f>
        <v>92.850909999999999</v>
      </c>
      <c r="T16" s="48">
        <f>ABS(SUMPRODUCT(dados!T:T,-(dados!$B:$B=$B16),-(dados!$C:$C&lt;=$C16)))</f>
        <v>53.983780000000003</v>
      </c>
      <c r="U16" s="48">
        <f>ABS(SUMPRODUCT(dados!U:U,-(dados!$B:$B=$B16),-(dados!$C:$C&lt;=$C16)))</f>
        <v>130.32504</v>
      </c>
    </row>
    <row r="17" spans="1:21" x14ac:dyDescent="0.25">
      <c r="A17" t="str">
        <f>dados!A17</f>
        <v>20182</v>
      </c>
      <c r="B17">
        <f>dados!B17</f>
        <v>2018</v>
      </c>
      <c r="C17">
        <f>dados!C17</f>
        <v>2</v>
      </c>
      <c r="D17" s="14">
        <f>dados!D17</f>
        <v>43132</v>
      </c>
      <c r="E17" s="48">
        <f>ABS(SUMPRODUCT(dados!E:E,-(dados!$B:$B=$B17),-(dados!$C:$C&lt;=$C17)))</f>
        <v>180.28892999999999</v>
      </c>
      <c r="F17" s="48">
        <f>ABS(SUMPRODUCT(dados!F:F,-(dados!$B:$B=$B17),-(dados!$C:$C&lt;=$C17)))</f>
        <v>174.36104</v>
      </c>
      <c r="G17" s="48">
        <f>ABS(SUMPRODUCT(dados!G:G,-(dados!$B:$B=$B17),-(dados!$C:$C&lt;=$C17)))</f>
        <v>152.67811</v>
      </c>
      <c r="H17" s="48">
        <f>ABS(SUMPRODUCT(dados!H:H,-(dados!$B:$B=$B17),-(dados!$C:$C&lt;=$C17)))</f>
        <v>187.48775000000001</v>
      </c>
      <c r="I17" s="48">
        <f>ABS(SUMPRODUCT(dados!I:I,-(dados!$B:$B=$B17),-(dados!$C:$C&lt;=$C17)))</f>
        <v>225.80047000000002</v>
      </c>
      <c r="J17" s="48">
        <f>ABS(SUMPRODUCT(dados!J:J,-(dados!$B:$B=$B17),-(dados!$C:$C&lt;=$C17)))</f>
        <v>267.62725</v>
      </c>
      <c r="K17" s="48">
        <f>ABS(SUMPRODUCT(dados!K:K,-(dados!$B:$B=$B17),-(dados!$C:$C&lt;=$C17)))</f>
        <v>0</v>
      </c>
      <c r="L17" s="48">
        <f>ABS(SUMPRODUCT(dados!L:L,-(dados!$B:$B=$B17),-(dados!$C:$C&lt;=$C17)))</f>
        <v>179.97424000000001</v>
      </c>
      <c r="M17" s="48">
        <f>ABS(SUMPRODUCT(dados!M:M,-(dados!$B:$B=$B17),-(dados!$C:$C&lt;=$C17)))</f>
        <v>181.14607000000001</v>
      </c>
      <c r="N17" s="48">
        <f>ABS(SUMPRODUCT(dados!N:N,-(dados!$B:$B=$B17),-(dados!$C:$C&lt;=$C17)))</f>
        <v>120.65264999999999</v>
      </c>
      <c r="O17" s="48">
        <f>ABS(SUMPRODUCT(dados!O:O,-(dados!$B:$B=$B17),-(dados!$C:$C&lt;=$C17)))</f>
        <v>197.85461000000001</v>
      </c>
      <c r="P17" s="48">
        <f>ABS(SUMPRODUCT(dados!P:P,-(dados!$B:$B=$B17),-(dados!$C:$C&lt;=$C17)))</f>
        <v>125.19391999999999</v>
      </c>
      <c r="Q17" s="48">
        <f>ABS(SUMPRODUCT(dados!Q:Q,-(dados!$B:$B=$B17),-(dados!$C:$C&lt;=$C17)))</f>
        <v>226.86847</v>
      </c>
      <c r="R17" s="48">
        <f>ABS(SUMPRODUCT(dados!R:R,-(dados!$B:$B=$B17),-(dados!$C:$C&lt;=$C17)))</f>
        <v>121.34246999999999</v>
      </c>
      <c r="S17" s="48">
        <f>ABS(SUMPRODUCT(dados!S:S,-(dados!$B:$B=$B17),-(dados!$C:$C&lt;=$C17)))</f>
        <v>192.42308</v>
      </c>
      <c r="T17" s="48">
        <f>ABS(SUMPRODUCT(dados!T:T,-(dados!$B:$B=$B17),-(dados!$C:$C&lt;=$C17)))</f>
        <v>91.663070000000005</v>
      </c>
      <c r="U17" s="48">
        <f>ABS(SUMPRODUCT(dados!U:U,-(dados!$B:$B=$B17),-(dados!$C:$C&lt;=$C17)))</f>
        <v>242.55149</v>
      </c>
    </row>
    <row r="18" spans="1:21" x14ac:dyDescent="0.25">
      <c r="A18" t="str">
        <f>dados!A18</f>
        <v>20183</v>
      </c>
      <c r="B18">
        <f>dados!B18</f>
        <v>2018</v>
      </c>
      <c r="C18">
        <f>dados!C18</f>
        <v>3</v>
      </c>
      <c r="D18" s="14">
        <f>dados!D18</f>
        <v>43160</v>
      </c>
      <c r="E18" s="48">
        <f>ABS(SUMPRODUCT(dados!E:E,-(dados!$B:$B=$B18),-(dados!$C:$C&lt;=$C18)))</f>
        <v>269.16419999999999</v>
      </c>
      <c r="F18" s="48">
        <f>ABS(SUMPRODUCT(dados!F:F,-(dados!$B:$B=$B18),-(dados!$C:$C&lt;=$C18)))</f>
        <v>261.76285000000001</v>
      </c>
      <c r="G18" s="48">
        <f>ABS(SUMPRODUCT(dados!G:G,-(dados!$B:$B=$B18),-(dados!$C:$C&lt;=$C18)))</f>
        <v>230.31362000000001</v>
      </c>
      <c r="H18" s="48">
        <f>ABS(SUMPRODUCT(dados!H:H,-(dados!$B:$B=$B18),-(dados!$C:$C&lt;=$C18)))</f>
        <v>280.80203</v>
      </c>
      <c r="I18" s="48">
        <f>ABS(SUMPRODUCT(dados!I:I,-(dados!$B:$B=$B18),-(dados!$C:$C&lt;=$C18)))</f>
        <v>360.59231</v>
      </c>
      <c r="J18" s="48">
        <f>ABS(SUMPRODUCT(dados!J:J,-(dados!$B:$B=$B18),-(dados!$C:$C&lt;=$C18)))</f>
        <v>370.50033999999999</v>
      </c>
      <c r="K18" s="48">
        <f>ABS(SUMPRODUCT(dados!K:K,-(dados!$B:$B=$B18),-(dados!$C:$C&lt;=$C18)))</f>
        <v>0</v>
      </c>
      <c r="L18" s="48">
        <f>ABS(SUMPRODUCT(dados!L:L,-(dados!$B:$B=$B18),-(dados!$C:$C&lt;=$C18)))</f>
        <v>256.0772</v>
      </c>
      <c r="M18" s="48">
        <f>ABS(SUMPRODUCT(dados!M:M,-(dados!$B:$B=$B18),-(dados!$C:$C&lt;=$C18)))</f>
        <v>277.79781000000003</v>
      </c>
      <c r="N18" s="48">
        <f>ABS(SUMPRODUCT(dados!N:N,-(dados!$B:$B=$B18),-(dados!$C:$C&lt;=$C18)))</f>
        <v>187.94232</v>
      </c>
      <c r="O18" s="48">
        <f>ABS(SUMPRODUCT(dados!O:O,-(dados!$B:$B=$B18),-(dados!$C:$C&lt;=$C18)))</f>
        <v>312.62617999999998</v>
      </c>
      <c r="P18" s="48">
        <f>ABS(SUMPRODUCT(dados!P:P,-(dados!$B:$B=$B18),-(dados!$C:$C&lt;=$C18)))</f>
        <v>196.46064999999999</v>
      </c>
      <c r="Q18" s="48">
        <f>ABS(SUMPRODUCT(dados!Q:Q,-(dados!$B:$B=$B18),-(dados!$C:$C&lt;=$C18)))</f>
        <v>351.23336</v>
      </c>
      <c r="R18" s="48">
        <f>ABS(SUMPRODUCT(dados!R:R,-(dados!$B:$B=$B18),-(dados!$C:$C&lt;=$C18)))</f>
        <v>192.09316999999999</v>
      </c>
      <c r="S18" s="48">
        <f>ABS(SUMPRODUCT(dados!S:S,-(dados!$B:$B=$B18),-(dados!$C:$C&lt;=$C18)))</f>
        <v>308.35525000000001</v>
      </c>
      <c r="T18" s="48">
        <f>ABS(SUMPRODUCT(dados!T:T,-(dados!$B:$B=$B18),-(dados!$C:$C&lt;=$C18)))</f>
        <v>139.92340999999999</v>
      </c>
      <c r="U18" s="48">
        <f>ABS(SUMPRODUCT(dados!U:U,-(dados!$B:$B=$B18),-(dados!$C:$C&lt;=$C18)))</f>
        <v>366.62747000000002</v>
      </c>
    </row>
    <row r="19" spans="1:21" x14ac:dyDescent="0.25">
      <c r="A19" t="str">
        <f>dados!A19</f>
        <v>20184</v>
      </c>
      <c r="B19">
        <f>dados!B19</f>
        <v>2018</v>
      </c>
      <c r="C19">
        <f>dados!C19</f>
        <v>4</v>
      </c>
      <c r="D19" s="14">
        <f>dados!D19</f>
        <v>43191</v>
      </c>
      <c r="E19" s="48">
        <f>ABS(SUMPRODUCT(dados!E:E,-(dados!$B:$B=$B19),-(dados!$C:$C&lt;=$C19)))</f>
        <v>365.37676999999996</v>
      </c>
      <c r="F19" s="48">
        <f>ABS(SUMPRODUCT(dados!F:F,-(dados!$B:$B=$B19),-(dados!$C:$C&lt;=$C19)))</f>
        <v>353.55988000000002</v>
      </c>
      <c r="G19" s="48">
        <f>ABS(SUMPRODUCT(dados!G:G,-(dados!$B:$B=$B19),-(dados!$C:$C&lt;=$C19)))</f>
        <v>308.63579000000004</v>
      </c>
      <c r="H19" s="48">
        <f>ABS(SUMPRODUCT(dados!H:H,-(dados!$B:$B=$B19),-(dados!$C:$C&lt;=$C19)))</f>
        <v>380.75666000000001</v>
      </c>
      <c r="I19" s="48">
        <f>ABS(SUMPRODUCT(dados!I:I,-(dados!$B:$B=$B19),-(dados!$C:$C&lt;=$C19)))</f>
        <v>476.29791999999998</v>
      </c>
      <c r="J19" s="48">
        <f>ABS(SUMPRODUCT(dados!J:J,-(dados!$B:$B=$B19),-(dados!$C:$C&lt;=$C19)))</f>
        <v>464.66355999999996</v>
      </c>
      <c r="K19" s="48">
        <f>ABS(SUMPRODUCT(dados!K:K,-(dados!$B:$B=$B19),-(dados!$C:$C&lt;=$C19)))</f>
        <v>0</v>
      </c>
      <c r="L19" s="48">
        <f>ABS(SUMPRODUCT(dados!L:L,-(dados!$B:$B=$B19),-(dados!$C:$C&lt;=$C19)))</f>
        <v>357.02483000000001</v>
      </c>
      <c r="M19" s="48">
        <f>ABS(SUMPRODUCT(dados!M:M,-(dados!$B:$B=$B19),-(dados!$C:$C&lt;=$C19)))</f>
        <v>368.90550000000002</v>
      </c>
      <c r="N19" s="48">
        <f>ABS(SUMPRODUCT(dados!N:N,-(dados!$B:$B=$B19),-(dados!$C:$C&lt;=$C19)))</f>
        <v>265.72329999999999</v>
      </c>
      <c r="O19" s="48">
        <f>ABS(SUMPRODUCT(dados!O:O,-(dados!$B:$B=$B19),-(dados!$C:$C&lt;=$C19)))</f>
        <v>428.57294999999999</v>
      </c>
      <c r="P19" s="48">
        <f>ABS(SUMPRODUCT(dados!P:P,-(dados!$B:$B=$B19),-(dados!$C:$C&lt;=$C19)))</f>
        <v>264.55228999999997</v>
      </c>
      <c r="Q19" s="48">
        <f>ABS(SUMPRODUCT(dados!Q:Q,-(dados!$B:$B=$B19),-(dados!$C:$C&lt;=$C19)))</f>
        <v>470.38038</v>
      </c>
      <c r="R19" s="48">
        <f>ABS(SUMPRODUCT(dados!R:R,-(dados!$B:$B=$B19),-(dados!$C:$C&lt;=$C19)))</f>
        <v>248.53871999999998</v>
      </c>
      <c r="S19" s="48">
        <f>ABS(SUMPRODUCT(dados!S:S,-(dados!$B:$B=$B19),-(dados!$C:$C&lt;=$C19)))</f>
        <v>413.14444000000003</v>
      </c>
      <c r="T19" s="48">
        <f>ABS(SUMPRODUCT(dados!T:T,-(dados!$B:$B=$B19),-(dados!$C:$C&lt;=$C19)))</f>
        <v>186.28395999999998</v>
      </c>
      <c r="U19" s="48">
        <f>ABS(SUMPRODUCT(dados!U:U,-(dados!$B:$B=$B19),-(dados!$C:$C&lt;=$C19)))</f>
        <v>493.34358000000003</v>
      </c>
    </row>
    <row r="20" spans="1:21" x14ac:dyDescent="0.25">
      <c r="A20" t="str">
        <f>dados!A20</f>
        <v>20185</v>
      </c>
      <c r="B20">
        <f>dados!B20</f>
        <v>2018</v>
      </c>
      <c r="C20">
        <f>dados!C20</f>
        <v>5</v>
      </c>
      <c r="D20" s="14">
        <f>dados!D20</f>
        <v>43221</v>
      </c>
      <c r="E20" s="48">
        <f>ABS(SUMPRODUCT(dados!E:E,-(dados!$B:$B=$B20),-(dados!$C:$C&lt;=$C20)))</f>
        <v>454.15817999999996</v>
      </c>
      <c r="F20" s="48">
        <f>ABS(SUMPRODUCT(dados!F:F,-(dados!$B:$B=$B20),-(dados!$C:$C&lt;=$C20)))</f>
        <v>441.87022999999999</v>
      </c>
      <c r="G20" s="48">
        <f>ABS(SUMPRODUCT(dados!G:G,-(dados!$B:$B=$B20),-(dados!$C:$C&lt;=$C20)))</f>
        <v>388.20175000000006</v>
      </c>
      <c r="H20" s="48">
        <f>ABS(SUMPRODUCT(dados!H:H,-(dados!$B:$B=$B20),-(dados!$C:$C&lt;=$C20)))</f>
        <v>474.36081999999999</v>
      </c>
      <c r="I20" s="48">
        <f>ABS(SUMPRODUCT(dados!I:I,-(dados!$B:$B=$B20),-(dados!$C:$C&lt;=$C20)))</f>
        <v>576.71510000000001</v>
      </c>
      <c r="J20" s="48">
        <f>ABS(SUMPRODUCT(dados!J:J,-(dados!$B:$B=$B20),-(dados!$C:$C&lt;=$C20)))</f>
        <v>573.24428999999998</v>
      </c>
      <c r="K20" s="48">
        <f>ABS(SUMPRODUCT(dados!K:K,-(dados!$B:$B=$B20),-(dados!$C:$C&lt;=$C20)))</f>
        <v>0</v>
      </c>
      <c r="L20" s="48">
        <f>ABS(SUMPRODUCT(dados!L:L,-(dados!$B:$B=$B20),-(dados!$C:$C&lt;=$C20)))</f>
        <v>452.35354000000001</v>
      </c>
      <c r="M20" s="48">
        <f>ABS(SUMPRODUCT(dados!M:M,-(dados!$B:$B=$B20),-(dados!$C:$C&lt;=$C20)))</f>
        <v>460.99909000000002</v>
      </c>
      <c r="N20" s="48">
        <f>ABS(SUMPRODUCT(dados!N:N,-(dados!$B:$B=$B20),-(dados!$C:$C&lt;=$C20)))</f>
        <v>338.46364</v>
      </c>
      <c r="O20" s="48">
        <f>ABS(SUMPRODUCT(dados!O:O,-(dados!$B:$B=$B20),-(dados!$C:$C&lt;=$C20)))</f>
        <v>526.55633999999998</v>
      </c>
      <c r="P20" s="48">
        <f>ABS(SUMPRODUCT(dados!P:P,-(dados!$B:$B=$B20),-(dados!$C:$C&lt;=$C20)))</f>
        <v>324.54048</v>
      </c>
      <c r="Q20" s="48">
        <f>ABS(SUMPRODUCT(dados!Q:Q,-(dados!$B:$B=$B20),-(dados!$C:$C&lt;=$C20)))</f>
        <v>588.13356999999996</v>
      </c>
      <c r="R20" s="48">
        <f>ABS(SUMPRODUCT(dados!R:R,-(dados!$B:$B=$B20),-(dados!$C:$C&lt;=$C20)))</f>
        <v>314.83591000000001</v>
      </c>
      <c r="S20" s="48">
        <f>ABS(SUMPRODUCT(dados!S:S,-(dados!$B:$B=$B20),-(dados!$C:$C&lt;=$C20)))</f>
        <v>486.91850000000005</v>
      </c>
      <c r="T20" s="48">
        <f>ABS(SUMPRODUCT(dados!T:T,-(dados!$B:$B=$B20),-(dados!$C:$C&lt;=$C20)))</f>
        <v>236.03481999999997</v>
      </c>
      <c r="U20" s="48">
        <f>ABS(SUMPRODUCT(dados!U:U,-(dados!$B:$B=$B20),-(dados!$C:$C&lt;=$C20)))</f>
        <v>620.12048000000004</v>
      </c>
    </row>
    <row r="21" spans="1:21" x14ac:dyDescent="0.25">
      <c r="A21" t="str">
        <f>dados!A21</f>
        <v>20186</v>
      </c>
      <c r="B21">
        <f>dados!B21</f>
        <v>2018</v>
      </c>
      <c r="C21">
        <f>dados!C21</f>
        <v>6</v>
      </c>
      <c r="D21" s="14">
        <f>dados!D21</f>
        <v>43252</v>
      </c>
      <c r="E21" s="48">
        <f>ABS(SUMPRODUCT(dados!E:E,-(dados!$B:$B=$B21),-(dados!$C:$C&lt;=$C21)))</f>
        <v>545.47956999999997</v>
      </c>
      <c r="F21" s="48">
        <f>ABS(SUMPRODUCT(dados!F:F,-(dados!$B:$B=$B21),-(dados!$C:$C&lt;=$C21)))</f>
        <v>531.53395999999998</v>
      </c>
      <c r="G21" s="48">
        <f>ABS(SUMPRODUCT(dados!G:G,-(dados!$B:$B=$B21),-(dados!$C:$C&lt;=$C21)))</f>
        <v>463.91269000000005</v>
      </c>
      <c r="H21" s="48">
        <f>ABS(SUMPRODUCT(dados!H:H,-(dados!$B:$B=$B21),-(dados!$C:$C&lt;=$C21)))</f>
        <v>572.47149000000002</v>
      </c>
      <c r="I21" s="48">
        <f>ABS(SUMPRODUCT(dados!I:I,-(dados!$B:$B=$B21),-(dados!$C:$C&lt;=$C21)))</f>
        <v>694.23513000000003</v>
      </c>
      <c r="J21" s="48">
        <f>ABS(SUMPRODUCT(dados!J:J,-(dados!$B:$B=$B21),-(dados!$C:$C&lt;=$C21)))</f>
        <v>679.15365999999995</v>
      </c>
      <c r="K21" s="48">
        <f>ABS(SUMPRODUCT(dados!K:K,-(dados!$B:$B=$B21),-(dados!$C:$C&lt;=$C21)))</f>
        <v>0</v>
      </c>
      <c r="L21" s="48">
        <f>ABS(SUMPRODUCT(dados!L:L,-(dados!$B:$B=$B21),-(dados!$C:$C&lt;=$C21)))</f>
        <v>546.49293999999998</v>
      </c>
      <c r="M21" s="48">
        <f>ABS(SUMPRODUCT(dados!M:M,-(dados!$B:$B=$B21),-(dados!$C:$C&lt;=$C21)))</f>
        <v>572.55153000000007</v>
      </c>
      <c r="N21" s="48">
        <f>ABS(SUMPRODUCT(dados!N:N,-(dados!$B:$B=$B21),-(dados!$C:$C&lt;=$C21)))</f>
        <v>423.32051999999999</v>
      </c>
      <c r="O21" s="48">
        <f>ABS(SUMPRODUCT(dados!O:O,-(dados!$B:$B=$B21),-(dados!$C:$C&lt;=$C21)))</f>
        <v>617.81476999999995</v>
      </c>
      <c r="P21" s="48">
        <f>ABS(SUMPRODUCT(dados!P:P,-(dados!$B:$B=$B21),-(dados!$C:$C&lt;=$C21)))</f>
        <v>403.02100000000002</v>
      </c>
      <c r="Q21" s="48">
        <f>ABS(SUMPRODUCT(dados!Q:Q,-(dados!$B:$B=$B21),-(dados!$C:$C&lt;=$C21)))</f>
        <v>686.4397899999999</v>
      </c>
      <c r="R21" s="48">
        <f>ABS(SUMPRODUCT(dados!R:R,-(dados!$B:$B=$B21),-(dados!$C:$C&lt;=$C21)))</f>
        <v>376.69379000000004</v>
      </c>
      <c r="S21" s="48">
        <f>ABS(SUMPRODUCT(dados!S:S,-(dados!$B:$B=$B21),-(dados!$C:$C&lt;=$C21)))</f>
        <v>603.53533000000004</v>
      </c>
      <c r="T21" s="48">
        <f>ABS(SUMPRODUCT(dados!T:T,-(dados!$B:$B=$B21),-(dados!$C:$C&lt;=$C21)))</f>
        <v>276.59475999999995</v>
      </c>
      <c r="U21" s="48">
        <f>ABS(SUMPRODUCT(dados!U:U,-(dados!$B:$B=$B21),-(dados!$C:$C&lt;=$C21)))</f>
        <v>754.64598000000001</v>
      </c>
    </row>
    <row r="22" spans="1:21" x14ac:dyDescent="0.25">
      <c r="A22" t="str">
        <f>dados!A22</f>
        <v>20187</v>
      </c>
      <c r="B22">
        <f>dados!B22</f>
        <v>2018</v>
      </c>
      <c r="C22">
        <f>dados!C22</f>
        <v>7</v>
      </c>
      <c r="D22" s="14">
        <f>dados!D22</f>
        <v>43282</v>
      </c>
      <c r="E22" s="48">
        <f>ABS(SUMPRODUCT(dados!E:E,-(dados!$B:$B=$B22),-(dados!$C:$C&lt;=$C22)))</f>
        <v>635.01068999999995</v>
      </c>
      <c r="F22" s="48">
        <f>ABS(SUMPRODUCT(dados!F:F,-(dados!$B:$B=$B22),-(dados!$C:$C&lt;=$C22)))</f>
        <v>624.38135</v>
      </c>
      <c r="G22" s="48">
        <f>ABS(SUMPRODUCT(dados!G:G,-(dados!$B:$B=$B22),-(dados!$C:$C&lt;=$C22)))</f>
        <v>541.6325700000001</v>
      </c>
      <c r="H22" s="48">
        <f>ABS(SUMPRODUCT(dados!H:H,-(dados!$B:$B=$B22),-(dados!$C:$C&lt;=$C22)))</f>
        <v>674.47698000000003</v>
      </c>
      <c r="I22" s="48">
        <f>ABS(SUMPRODUCT(dados!I:I,-(dados!$B:$B=$B22),-(dados!$C:$C&lt;=$C22)))</f>
        <v>818.09158000000002</v>
      </c>
      <c r="J22" s="48">
        <f>ABS(SUMPRODUCT(dados!J:J,-(dados!$B:$B=$B22),-(dados!$C:$C&lt;=$C22)))</f>
        <v>797.8727899999999</v>
      </c>
      <c r="K22" s="48">
        <f>ABS(SUMPRODUCT(dados!K:K,-(dados!$B:$B=$B22),-(dados!$C:$C&lt;=$C22)))</f>
        <v>0</v>
      </c>
      <c r="L22" s="48">
        <f>ABS(SUMPRODUCT(dados!L:L,-(dados!$B:$B=$B22),-(dados!$C:$C&lt;=$C22)))</f>
        <v>647.07781</v>
      </c>
      <c r="M22" s="48">
        <f>ABS(SUMPRODUCT(dados!M:M,-(dados!$B:$B=$B22),-(dados!$C:$C&lt;=$C22)))</f>
        <v>678.53380000000004</v>
      </c>
      <c r="N22" s="48">
        <f>ABS(SUMPRODUCT(dados!N:N,-(dados!$B:$B=$B22),-(dados!$C:$C&lt;=$C22)))</f>
        <v>497.91071999999997</v>
      </c>
      <c r="O22" s="48">
        <f>ABS(SUMPRODUCT(dados!O:O,-(dados!$B:$B=$B22),-(dados!$C:$C&lt;=$C22)))</f>
        <v>728.08695999999998</v>
      </c>
      <c r="P22" s="48">
        <f>ABS(SUMPRODUCT(dados!P:P,-(dados!$B:$B=$B22),-(dados!$C:$C&lt;=$C22)))</f>
        <v>483.45537999999999</v>
      </c>
      <c r="Q22" s="48">
        <f>ABS(SUMPRODUCT(dados!Q:Q,-(dados!$B:$B=$B22),-(dados!$C:$C&lt;=$C22)))</f>
        <v>795.52146999999991</v>
      </c>
      <c r="R22" s="48">
        <f>ABS(SUMPRODUCT(dados!R:R,-(dados!$B:$B=$B22),-(dados!$C:$C&lt;=$C22)))</f>
        <v>439.98203000000001</v>
      </c>
      <c r="S22" s="48">
        <f>ABS(SUMPRODUCT(dados!S:S,-(dados!$B:$B=$B22),-(dados!$C:$C&lt;=$C22)))</f>
        <v>721.75198</v>
      </c>
      <c r="T22" s="48">
        <f>ABS(SUMPRODUCT(dados!T:T,-(dados!$B:$B=$B22),-(dados!$C:$C&lt;=$C22)))</f>
        <v>317.55623999999995</v>
      </c>
      <c r="U22" s="48">
        <f>ABS(SUMPRODUCT(dados!U:U,-(dados!$B:$B=$B22),-(dados!$C:$C&lt;=$C22)))</f>
        <v>868.92615000000001</v>
      </c>
    </row>
    <row r="23" spans="1:21" x14ac:dyDescent="0.25">
      <c r="A23" t="str">
        <f>dados!A23</f>
        <v>20188</v>
      </c>
      <c r="B23">
        <f>dados!B23</f>
        <v>2018</v>
      </c>
      <c r="C23">
        <f>dados!C23</f>
        <v>8</v>
      </c>
      <c r="D23" s="14">
        <f>dados!D23</f>
        <v>43313</v>
      </c>
      <c r="E23" s="48">
        <f>ABS(SUMPRODUCT(dados!E:E,-(dados!$B:$B=$B23),-(dados!$C:$C&lt;=$C23)))</f>
        <v>724.74263999999994</v>
      </c>
      <c r="F23" s="48">
        <f>ABS(SUMPRODUCT(dados!F:F,-(dados!$B:$B=$B23),-(dados!$C:$C&lt;=$C23)))</f>
        <v>716.68088999999998</v>
      </c>
      <c r="G23" s="48">
        <f>ABS(SUMPRODUCT(dados!G:G,-(dados!$B:$B=$B23),-(dados!$C:$C&lt;=$C23)))</f>
        <v>614.59124000000008</v>
      </c>
      <c r="H23" s="48">
        <f>ABS(SUMPRODUCT(dados!H:H,-(dados!$B:$B=$B23),-(dados!$C:$C&lt;=$C23)))</f>
        <v>778.48536999999999</v>
      </c>
      <c r="I23" s="48">
        <f>ABS(SUMPRODUCT(dados!I:I,-(dados!$B:$B=$B23),-(dados!$C:$C&lt;=$C23)))</f>
        <v>938.77816000000007</v>
      </c>
      <c r="J23" s="48">
        <f>ABS(SUMPRODUCT(dados!J:J,-(dados!$B:$B=$B23),-(dados!$C:$C&lt;=$C23)))</f>
        <v>910.20725999999991</v>
      </c>
      <c r="K23" s="48">
        <f>ABS(SUMPRODUCT(dados!K:K,-(dados!$B:$B=$B23),-(dados!$C:$C&lt;=$C23)))</f>
        <v>0</v>
      </c>
      <c r="L23" s="48">
        <f>ABS(SUMPRODUCT(dados!L:L,-(dados!$B:$B=$B23),-(dados!$C:$C&lt;=$C23)))</f>
        <v>747.39479000000006</v>
      </c>
      <c r="M23" s="48">
        <f>ABS(SUMPRODUCT(dados!M:M,-(dados!$B:$B=$B23),-(dados!$C:$C&lt;=$C23)))</f>
        <v>813.02865000000008</v>
      </c>
      <c r="N23" s="48">
        <f>ABS(SUMPRODUCT(dados!N:N,-(dados!$B:$B=$B23),-(dados!$C:$C&lt;=$C23)))</f>
        <v>587.91384999999991</v>
      </c>
      <c r="O23" s="48">
        <f>ABS(SUMPRODUCT(dados!O:O,-(dados!$B:$B=$B23),-(dados!$C:$C&lt;=$C23)))</f>
        <v>835.66072999999994</v>
      </c>
      <c r="P23" s="48">
        <f>ABS(SUMPRODUCT(dados!P:P,-(dados!$B:$B=$B23),-(dados!$C:$C&lt;=$C23)))</f>
        <v>560.96849999999995</v>
      </c>
      <c r="Q23" s="48">
        <f>ABS(SUMPRODUCT(dados!Q:Q,-(dados!$B:$B=$B23),-(dados!$C:$C&lt;=$C23)))</f>
        <v>890.41129999999987</v>
      </c>
      <c r="R23" s="48">
        <f>ABS(SUMPRODUCT(dados!R:R,-(dados!$B:$B=$B23),-(dados!$C:$C&lt;=$C23)))</f>
        <v>508.45379000000003</v>
      </c>
      <c r="S23" s="48">
        <f>ABS(SUMPRODUCT(dados!S:S,-(dados!$B:$B=$B23),-(dados!$C:$C&lt;=$C23)))</f>
        <v>851.20826</v>
      </c>
      <c r="T23" s="48">
        <f>ABS(SUMPRODUCT(dados!T:T,-(dados!$B:$B=$B23),-(dados!$C:$C&lt;=$C23)))</f>
        <v>353.95351999999997</v>
      </c>
      <c r="U23" s="48">
        <f>ABS(SUMPRODUCT(dados!U:U,-(dados!$B:$B=$B23),-(dados!$C:$C&lt;=$C23)))</f>
        <v>996.72568000000001</v>
      </c>
    </row>
    <row r="24" spans="1:21" x14ac:dyDescent="0.25">
      <c r="A24" t="str">
        <f>dados!A24</f>
        <v>20189</v>
      </c>
      <c r="B24">
        <f>dados!B24</f>
        <v>2018</v>
      </c>
      <c r="C24">
        <f>dados!C24</f>
        <v>9</v>
      </c>
      <c r="D24" s="14">
        <f>dados!D24</f>
        <v>43344</v>
      </c>
      <c r="E24" s="48">
        <f>ABS(SUMPRODUCT(dados!E:E,-(dados!$B:$B=$B24),-(dados!$C:$C&lt;=$C24)))</f>
        <v>812.50806999999998</v>
      </c>
      <c r="F24" s="48">
        <f>ABS(SUMPRODUCT(dados!F:F,-(dados!$B:$B=$B24),-(dados!$C:$C&lt;=$C24)))</f>
        <v>804.77482999999995</v>
      </c>
      <c r="G24" s="48">
        <f>ABS(SUMPRODUCT(dados!G:G,-(dados!$B:$B=$B24),-(dados!$C:$C&lt;=$C24)))</f>
        <v>686.34755000000007</v>
      </c>
      <c r="H24" s="48">
        <f>ABS(SUMPRODUCT(dados!H:H,-(dados!$B:$B=$B24),-(dados!$C:$C&lt;=$C24)))</f>
        <v>876.47001</v>
      </c>
      <c r="I24" s="48">
        <f>ABS(SUMPRODUCT(dados!I:I,-(dados!$B:$B=$B24),-(dados!$C:$C&lt;=$C24)))</f>
        <v>1073.9914600000002</v>
      </c>
      <c r="J24" s="48">
        <f>ABS(SUMPRODUCT(dados!J:J,-(dados!$B:$B=$B24),-(dados!$C:$C&lt;=$C24)))</f>
        <v>1016.8484199999999</v>
      </c>
      <c r="K24" s="48">
        <f>ABS(SUMPRODUCT(dados!K:K,-(dados!$B:$B=$B24),-(dados!$C:$C&lt;=$C24)))</f>
        <v>0</v>
      </c>
      <c r="L24" s="48">
        <f>ABS(SUMPRODUCT(dados!L:L,-(dados!$B:$B=$B24),-(dados!$C:$C&lt;=$C24)))</f>
        <v>841.64650000000006</v>
      </c>
      <c r="M24" s="48">
        <f>ABS(SUMPRODUCT(dados!M:M,-(dados!$B:$B=$B24),-(dados!$C:$C&lt;=$C24)))</f>
        <v>942.51927000000012</v>
      </c>
      <c r="N24" s="48">
        <f>ABS(SUMPRODUCT(dados!N:N,-(dados!$B:$B=$B24),-(dados!$C:$C&lt;=$C24)))</f>
        <v>651.88421999999991</v>
      </c>
      <c r="O24" s="48">
        <f>ABS(SUMPRODUCT(dados!O:O,-(dados!$B:$B=$B24),-(dados!$C:$C&lt;=$C24)))</f>
        <v>945.58632999999998</v>
      </c>
      <c r="P24" s="48">
        <f>ABS(SUMPRODUCT(dados!P:P,-(dados!$B:$B=$B24),-(dados!$C:$C&lt;=$C24)))</f>
        <v>638.55962</v>
      </c>
      <c r="Q24" s="48">
        <f>ABS(SUMPRODUCT(dados!Q:Q,-(dados!$B:$B=$B24),-(dados!$C:$C&lt;=$C24)))</f>
        <v>994.8665299999999</v>
      </c>
      <c r="R24" s="48">
        <f>ABS(SUMPRODUCT(dados!R:R,-(dados!$B:$B=$B24),-(dados!$C:$C&lt;=$C24)))</f>
        <v>586.29113000000007</v>
      </c>
      <c r="S24" s="48">
        <f>ABS(SUMPRODUCT(dados!S:S,-(dados!$B:$B=$B24),-(dados!$C:$C&lt;=$C24)))</f>
        <v>951.48639000000003</v>
      </c>
      <c r="T24" s="48">
        <f>ABS(SUMPRODUCT(dados!T:T,-(dados!$B:$B=$B24),-(dados!$C:$C&lt;=$C24)))</f>
        <v>379.81094999999999</v>
      </c>
      <c r="U24" s="48">
        <f>ABS(SUMPRODUCT(dados!U:U,-(dados!$B:$B=$B24),-(dados!$C:$C&lt;=$C24)))</f>
        <v>1111.08203</v>
      </c>
    </row>
    <row r="25" spans="1:21" x14ac:dyDescent="0.25">
      <c r="A25" t="str">
        <f>dados!A25</f>
        <v>201810</v>
      </c>
      <c r="B25">
        <f>dados!B25</f>
        <v>2018</v>
      </c>
      <c r="C25">
        <f>dados!C25</f>
        <v>10</v>
      </c>
      <c r="D25" s="14">
        <f>dados!D25</f>
        <v>43374</v>
      </c>
      <c r="E25" s="48">
        <f>ABS(SUMPRODUCT(dados!E:E,-(dados!$B:$B=$B25),-(dados!$C:$C&lt;=$C25)))</f>
        <v>902.24648999999999</v>
      </c>
      <c r="F25" s="48">
        <f>ABS(SUMPRODUCT(dados!F:F,-(dados!$B:$B=$B25),-(dados!$C:$C&lt;=$C25)))</f>
        <v>900.18168999999989</v>
      </c>
      <c r="G25" s="48">
        <f>ABS(SUMPRODUCT(dados!G:G,-(dados!$B:$B=$B25),-(dados!$C:$C&lt;=$C25)))</f>
        <v>764.61197000000004</v>
      </c>
      <c r="H25" s="48">
        <f>ABS(SUMPRODUCT(dados!H:H,-(dados!$B:$B=$B25),-(dados!$C:$C&lt;=$C25)))</f>
        <v>982.25480000000005</v>
      </c>
      <c r="I25" s="48">
        <f>ABS(SUMPRODUCT(dados!I:I,-(dados!$B:$B=$B25),-(dados!$C:$C&lt;=$C25)))</f>
        <v>1230.1794200000002</v>
      </c>
      <c r="J25" s="48">
        <f>ABS(SUMPRODUCT(dados!J:J,-(dados!$B:$B=$B25),-(dados!$C:$C&lt;=$C25)))</f>
        <v>1143.18562</v>
      </c>
      <c r="K25" s="48">
        <f>ABS(SUMPRODUCT(dados!K:K,-(dados!$B:$B=$B25),-(dados!$C:$C&lt;=$C25)))</f>
        <v>0</v>
      </c>
      <c r="L25" s="48">
        <f>ABS(SUMPRODUCT(dados!L:L,-(dados!$B:$B=$B25),-(dados!$C:$C&lt;=$C25)))</f>
        <v>942.81556</v>
      </c>
      <c r="M25" s="48">
        <f>ABS(SUMPRODUCT(dados!M:M,-(dados!$B:$B=$B25),-(dados!$C:$C&lt;=$C25)))</f>
        <v>1066.9915300000002</v>
      </c>
      <c r="N25" s="48">
        <f>ABS(SUMPRODUCT(dados!N:N,-(dados!$B:$B=$B25),-(dados!$C:$C&lt;=$C25)))</f>
        <v>727.02737999999988</v>
      </c>
      <c r="O25" s="48">
        <f>ABS(SUMPRODUCT(dados!O:O,-(dados!$B:$B=$B25),-(dados!$C:$C&lt;=$C25)))</f>
        <v>1069.4600399999999</v>
      </c>
      <c r="P25" s="48">
        <f>ABS(SUMPRODUCT(dados!P:P,-(dados!$B:$B=$B25),-(dados!$C:$C&lt;=$C25)))</f>
        <v>711.93145000000004</v>
      </c>
      <c r="Q25" s="48">
        <f>ABS(SUMPRODUCT(dados!Q:Q,-(dados!$B:$B=$B25),-(dados!$C:$C&lt;=$C25)))</f>
        <v>1103.4921399999998</v>
      </c>
      <c r="R25" s="48">
        <f>ABS(SUMPRODUCT(dados!R:R,-(dados!$B:$B=$B25),-(dados!$C:$C&lt;=$C25)))</f>
        <v>690.40615000000003</v>
      </c>
      <c r="S25" s="48">
        <f>ABS(SUMPRODUCT(dados!S:S,-(dados!$B:$B=$B25),-(dados!$C:$C&lt;=$C25)))</f>
        <v>1063.9575600000001</v>
      </c>
      <c r="T25" s="48">
        <f>ABS(SUMPRODUCT(dados!T:T,-(dados!$B:$B=$B25),-(dados!$C:$C&lt;=$C25)))</f>
        <v>405.90197999999998</v>
      </c>
      <c r="U25" s="48">
        <f>ABS(SUMPRODUCT(dados!U:U,-(dados!$B:$B=$B25),-(dados!$C:$C&lt;=$C25)))</f>
        <v>1214.6904</v>
      </c>
    </row>
    <row r="26" spans="1:21" x14ac:dyDescent="0.25">
      <c r="A26" t="str">
        <f>dados!A26</f>
        <v>201811</v>
      </c>
      <c r="B26">
        <f>dados!B26</f>
        <v>2018</v>
      </c>
      <c r="C26">
        <f>dados!C26</f>
        <v>11</v>
      </c>
      <c r="D26" s="14">
        <f>dados!D26</f>
        <v>43405</v>
      </c>
      <c r="E26" s="48">
        <f>ABS(SUMPRODUCT(dados!E:E,-(dados!$B:$B=$B26),-(dados!$C:$C&lt;=$C26)))</f>
        <v>989.13201000000004</v>
      </c>
      <c r="F26" s="48">
        <f>ABS(SUMPRODUCT(dados!F:F,-(dados!$B:$B=$B26),-(dados!$C:$C&lt;=$C26)))</f>
        <v>988.88012999999989</v>
      </c>
      <c r="G26" s="48">
        <f>ABS(SUMPRODUCT(dados!G:G,-(dados!$B:$B=$B26),-(dados!$C:$C&lt;=$C26)))</f>
        <v>841.15347000000008</v>
      </c>
      <c r="H26" s="48">
        <f>ABS(SUMPRODUCT(dados!H:H,-(dados!$B:$B=$B26),-(dados!$C:$C&lt;=$C26)))</f>
        <v>1078.3129800000002</v>
      </c>
      <c r="I26" s="48">
        <f>ABS(SUMPRODUCT(dados!I:I,-(dados!$B:$B=$B26),-(dados!$C:$C&lt;=$C26)))</f>
        <v>1377.3194000000001</v>
      </c>
      <c r="J26" s="48">
        <f>ABS(SUMPRODUCT(dados!J:J,-(dados!$B:$B=$B26),-(dados!$C:$C&lt;=$C26)))</f>
        <v>1271.33987</v>
      </c>
      <c r="K26" s="48">
        <f>ABS(SUMPRODUCT(dados!K:K,-(dados!$B:$B=$B26),-(dados!$C:$C&lt;=$C26)))</f>
        <v>0</v>
      </c>
      <c r="L26" s="48">
        <f>ABS(SUMPRODUCT(dados!L:L,-(dados!$B:$B=$B26),-(dados!$C:$C&lt;=$C26)))</f>
        <v>1029.5828899999999</v>
      </c>
      <c r="M26" s="48">
        <f>ABS(SUMPRODUCT(dados!M:M,-(dados!$B:$B=$B26),-(dados!$C:$C&lt;=$C26)))</f>
        <v>1190.9004300000001</v>
      </c>
      <c r="N26" s="48">
        <f>ABS(SUMPRODUCT(dados!N:N,-(dados!$B:$B=$B26),-(dados!$C:$C&lt;=$C26)))</f>
        <v>793.34730999999988</v>
      </c>
      <c r="O26" s="48">
        <f>ABS(SUMPRODUCT(dados!O:O,-(dados!$B:$B=$B26),-(dados!$C:$C&lt;=$C26)))</f>
        <v>1178.63411</v>
      </c>
      <c r="P26" s="48">
        <f>ABS(SUMPRODUCT(dados!P:P,-(dados!$B:$B=$B26),-(dados!$C:$C&lt;=$C26)))</f>
        <v>784.25152000000003</v>
      </c>
      <c r="Q26" s="48">
        <f>ABS(SUMPRODUCT(dados!Q:Q,-(dados!$B:$B=$B26),-(dados!$C:$C&lt;=$C26)))</f>
        <v>1208.7403099999999</v>
      </c>
      <c r="R26" s="48">
        <f>ABS(SUMPRODUCT(dados!R:R,-(dados!$B:$B=$B26),-(dados!$C:$C&lt;=$C26)))</f>
        <v>766.61747000000003</v>
      </c>
      <c r="S26" s="48">
        <f>ABS(SUMPRODUCT(dados!S:S,-(dados!$B:$B=$B26),-(dados!$C:$C&lt;=$C26)))</f>
        <v>1162.3004600000002</v>
      </c>
      <c r="T26" s="48">
        <f>ABS(SUMPRODUCT(dados!T:T,-(dados!$B:$B=$B26),-(dados!$C:$C&lt;=$C26)))</f>
        <v>429.59881999999999</v>
      </c>
      <c r="U26" s="48">
        <f>ABS(SUMPRODUCT(dados!U:U,-(dados!$B:$B=$B26),-(dados!$C:$C&lt;=$C26)))</f>
        <v>1328.5155399999999</v>
      </c>
    </row>
    <row r="27" spans="1:21" x14ac:dyDescent="0.25">
      <c r="A27" t="str">
        <f>dados!A27</f>
        <v>201812</v>
      </c>
      <c r="B27">
        <f>dados!B27</f>
        <v>2018</v>
      </c>
      <c r="C27">
        <f>dados!C27</f>
        <v>12</v>
      </c>
      <c r="D27" s="14">
        <f>dados!D27</f>
        <v>43435</v>
      </c>
      <c r="E27" s="48">
        <f>ABS(SUMPRODUCT(dados!E:E,-(dados!$B:$B=$B27),-(dados!$C:$C&lt;=$C27)))</f>
        <v>1080.1252200000001</v>
      </c>
      <c r="F27" s="48">
        <f>ABS(SUMPRODUCT(dados!F:F,-(dados!$B:$B=$B27),-(dados!$C:$C&lt;=$C27)))</f>
        <v>1080.3256999999999</v>
      </c>
      <c r="G27" s="48">
        <f>ABS(SUMPRODUCT(dados!G:G,-(dados!$B:$B=$B27),-(dados!$C:$C&lt;=$C27)))</f>
        <v>924.10418000000004</v>
      </c>
      <c r="H27" s="48">
        <f>ABS(SUMPRODUCT(dados!H:H,-(dados!$B:$B=$B27),-(dados!$C:$C&lt;=$C27)))</f>
        <v>1174.90128</v>
      </c>
      <c r="I27" s="48">
        <f>ABS(SUMPRODUCT(dados!I:I,-(dados!$B:$B=$B27),-(dados!$C:$C&lt;=$C27)))</f>
        <v>1547.39084</v>
      </c>
      <c r="J27" s="48">
        <f>ABS(SUMPRODUCT(dados!J:J,-(dados!$B:$B=$B27),-(dados!$C:$C&lt;=$C27)))</f>
        <v>1423.91588</v>
      </c>
      <c r="K27" s="48">
        <f>ABS(SUMPRODUCT(dados!K:K,-(dados!$B:$B=$B27),-(dados!$C:$C&lt;=$C27)))</f>
        <v>0</v>
      </c>
      <c r="L27" s="48">
        <f>ABS(SUMPRODUCT(dados!L:L,-(dados!$B:$B=$B27),-(dados!$C:$C&lt;=$C27)))</f>
        <v>1121.4607599999999</v>
      </c>
      <c r="M27" s="48">
        <f>ABS(SUMPRODUCT(dados!M:M,-(dados!$B:$B=$B27),-(dados!$C:$C&lt;=$C27)))</f>
        <v>1282.6800800000001</v>
      </c>
      <c r="N27" s="48">
        <f>ABS(SUMPRODUCT(dados!N:N,-(dados!$B:$B=$B27),-(dados!$C:$C&lt;=$C27)))</f>
        <v>892.77269999999987</v>
      </c>
      <c r="O27" s="48">
        <f>ABS(SUMPRODUCT(dados!O:O,-(dados!$B:$B=$B27),-(dados!$C:$C&lt;=$C27)))</f>
        <v>1278.5202300000001</v>
      </c>
      <c r="P27" s="48">
        <f>ABS(SUMPRODUCT(dados!P:P,-(dados!$B:$B=$B27),-(dados!$C:$C&lt;=$C27)))</f>
        <v>857.65661</v>
      </c>
      <c r="Q27" s="48">
        <f>ABS(SUMPRODUCT(dados!Q:Q,-(dados!$B:$B=$B27),-(dados!$C:$C&lt;=$C27)))</f>
        <v>1310.2974899999999</v>
      </c>
      <c r="R27" s="48">
        <f>ABS(SUMPRODUCT(dados!R:R,-(dados!$B:$B=$B27),-(dados!$C:$C&lt;=$C27)))</f>
        <v>834.71914000000004</v>
      </c>
      <c r="S27" s="48">
        <f>ABS(SUMPRODUCT(dados!S:S,-(dados!$B:$B=$B27),-(dados!$C:$C&lt;=$C27)))</f>
        <v>1233.9887500000002</v>
      </c>
      <c r="T27" s="48">
        <f>ABS(SUMPRODUCT(dados!T:T,-(dados!$B:$B=$B27),-(dados!$C:$C&lt;=$C27)))</f>
        <v>445.18617999999998</v>
      </c>
      <c r="U27" s="48">
        <f>ABS(SUMPRODUCT(dados!U:U,-(dados!$B:$B=$B27),-(dados!$C:$C&lt;=$C27)))</f>
        <v>1436.5476099999998</v>
      </c>
    </row>
    <row r="28" spans="1:21" x14ac:dyDescent="0.25">
      <c r="A28" t="str">
        <f>dados!A28</f>
        <v>20191</v>
      </c>
      <c r="B28">
        <f>dados!B28</f>
        <v>2019</v>
      </c>
      <c r="C28">
        <f>dados!C28</f>
        <v>1</v>
      </c>
      <c r="D28" s="14">
        <f>dados!D28</f>
        <v>43466</v>
      </c>
      <c r="E28" s="48">
        <f>ABS(SUMPRODUCT(dados!E:E,-(dados!$B:$B=$B28),-(dados!$C:$C&lt;=$C28)))</f>
        <v>89.147989999999993</v>
      </c>
      <c r="F28" s="48">
        <f>ABS(SUMPRODUCT(dados!F:F,-(dados!$B:$B=$B28),-(dados!$C:$C&lt;=$C28)))</f>
        <v>90.352159999999998</v>
      </c>
      <c r="G28" s="48">
        <f>ABS(SUMPRODUCT(dados!G:G,-(dados!$B:$B=$B28),-(dados!$C:$C&lt;=$C28)))</f>
        <v>81.398099999999999</v>
      </c>
      <c r="H28" s="48">
        <f>ABS(SUMPRODUCT(dados!H:H,-(dados!$B:$B=$B28),-(dados!$C:$C&lt;=$C28)))</f>
        <v>95.772890000000004</v>
      </c>
      <c r="I28" s="48">
        <f>ABS(SUMPRODUCT(dados!I:I,-(dados!$B:$B=$B28),-(dados!$C:$C&lt;=$C28)))</f>
        <v>172.02447000000001</v>
      </c>
      <c r="J28" s="48">
        <f>ABS(SUMPRODUCT(dados!J:J,-(dados!$B:$B=$B28),-(dados!$C:$C&lt;=$C28)))</f>
        <v>136.64472000000001</v>
      </c>
      <c r="K28" s="48">
        <f>ABS(SUMPRODUCT(dados!K:K,-(dados!$B:$B=$B28),-(dados!$C:$C&lt;=$C28)))</f>
        <v>0</v>
      </c>
      <c r="L28" s="48">
        <f>ABS(SUMPRODUCT(dados!L:L,-(dados!$B:$B=$B28),-(dados!$C:$C&lt;=$C28)))</f>
        <v>87.769819999999996</v>
      </c>
      <c r="M28" s="48">
        <f>ABS(SUMPRODUCT(dados!M:M,-(dados!$B:$B=$B28),-(dados!$C:$C&lt;=$C28)))</f>
        <v>95.309269999999998</v>
      </c>
      <c r="N28" s="48">
        <f>ABS(SUMPRODUCT(dados!N:N,-(dados!$B:$B=$B28),-(dados!$C:$C&lt;=$C28)))</f>
        <v>72.384960000000007</v>
      </c>
      <c r="O28" s="48">
        <f>ABS(SUMPRODUCT(dados!O:O,-(dados!$B:$B=$B28),-(dados!$C:$C&lt;=$C28)))</f>
        <v>110.68745</v>
      </c>
      <c r="P28" s="48">
        <f>ABS(SUMPRODUCT(dados!P:P,-(dados!$B:$B=$B28),-(dados!$C:$C&lt;=$C28)))</f>
        <v>68.799539999999993</v>
      </c>
      <c r="Q28" s="48">
        <f>ABS(SUMPRODUCT(dados!Q:Q,-(dados!$B:$B=$B28),-(dados!$C:$C&lt;=$C28)))</f>
        <v>108.06965</v>
      </c>
      <c r="R28" s="48">
        <f>ABS(SUMPRODUCT(dados!R:R,-(dados!$B:$B=$B28),-(dados!$C:$C&lt;=$C28)))</f>
        <v>65.157150000000001</v>
      </c>
      <c r="S28" s="48">
        <f>ABS(SUMPRODUCT(dados!S:S,-(dados!$B:$B=$B28),-(dados!$C:$C&lt;=$C28)))</f>
        <v>90.646159999999995</v>
      </c>
      <c r="T28" s="48">
        <f>ABS(SUMPRODUCT(dados!T:T,-(dados!$B:$B=$B28),-(dados!$C:$C&lt;=$C28)))</f>
        <v>22.190429999999999</v>
      </c>
      <c r="U28" s="48">
        <f>ABS(SUMPRODUCT(dados!U:U,-(dados!$B:$B=$B28),-(dados!$C:$C&lt;=$C28)))</f>
        <v>113.95668999999999</v>
      </c>
    </row>
    <row r="29" spans="1:21" x14ac:dyDescent="0.25">
      <c r="A29" t="str">
        <f>dados!A29</f>
        <v>20192</v>
      </c>
      <c r="B29">
        <f>dados!B29</f>
        <v>2019</v>
      </c>
      <c r="C29">
        <f>dados!C29</f>
        <v>2</v>
      </c>
      <c r="D29" s="14">
        <f>dados!D29</f>
        <v>43497</v>
      </c>
      <c r="E29" s="48">
        <f>ABS(SUMPRODUCT(dados!E:E,-(dados!$B:$B=$B29),-(dados!$C:$C&lt;=$C29)))</f>
        <v>176.63445999999999</v>
      </c>
      <c r="F29" s="48">
        <f>ABS(SUMPRODUCT(dados!F:F,-(dados!$B:$B=$B29),-(dados!$C:$C&lt;=$C29)))</f>
        <v>172.68619000000001</v>
      </c>
      <c r="G29" s="48">
        <f>ABS(SUMPRODUCT(dados!G:G,-(dados!$B:$B=$B29),-(dados!$C:$C&lt;=$C29)))</f>
        <v>151.52212</v>
      </c>
      <c r="H29" s="48">
        <f>ABS(SUMPRODUCT(dados!H:H,-(dados!$B:$B=$B29),-(dados!$C:$C&lt;=$C29)))</f>
        <v>185.49878000000001</v>
      </c>
      <c r="I29" s="48">
        <f>ABS(SUMPRODUCT(dados!I:I,-(dados!$B:$B=$B29),-(dados!$C:$C&lt;=$C29)))</f>
        <v>305.96986000000004</v>
      </c>
      <c r="J29" s="48">
        <f>ABS(SUMPRODUCT(dados!J:J,-(dados!$B:$B=$B29),-(dados!$C:$C&lt;=$C29)))</f>
        <v>252.11373</v>
      </c>
      <c r="K29" s="48">
        <f>ABS(SUMPRODUCT(dados!K:K,-(dados!$B:$B=$B29),-(dados!$C:$C&lt;=$C29)))</f>
        <v>0</v>
      </c>
      <c r="L29" s="48">
        <f>ABS(SUMPRODUCT(dados!L:L,-(dados!$B:$B=$B29),-(dados!$C:$C&lt;=$C29)))</f>
        <v>172.31646999999998</v>
      </c>
      <c r="M29" s="48">
        <f>ABS(SUMPRODUCT(dados!M:M,-(dados!$B:$B=$B29),-(dados!$C:$C&lt;=$C29)))</f>
        <v>171.82488000000001</v>
      </c>
      <c r="N29" s="48">
        <f>ABS(SUMPRODUCT(dados!N:N,-(dados!$B:$B=$B29),-(dados!$C:$C&lt;=$C29)))</f>
        <v>141.13409000000001</v>
      </c>
      <c r="O29" s="48">
        <f>ABS(SUMPRODUCT(dados!O:O,-(dados!$B:$B=$B29),-(dados!$C:$C&lt;=$C29)))</f>
        <v>212.37326000000002</v>
      </c>
      <c r="P29" s="48">
        <f>ABS(SUMPRODUCT(dados!P:P,-(dados!$B:$B=$B29),-(dados!$C:$C&lt;=$C29)))</f>
        <v>132.04145</v>
      </c>
      <c r="Q29" s="48">
        <f>ABS(SUMPRODUCT(dados!Q:Q,-(dados!$B:$B=$B29),-(dados!$C:$C&lt;=$C29)))</f>
        <v>204.82986</v>
      </c>
      <c r="R29" s="48">
        <f>ABS(SUMPRODUCT(dados!R:R,-(dados!$B:$B=$B29),-(dados!$C:$C&lt;=$C29)))</f>
        <v>126.82807</v>
      </c>
      <c r="S29" s="48">
        <f>ABS(SUMPRODUCT(dados!S:S,-(dados!$B:$B=$B29),-(dados!$C:$C&lt;=$C29)))</f>
        <v>191.37114</v>
      </c>
      <c r="T29" s="48">
        <f>ABS(SUMPRODUCT(dados!T:T,-(dados!$B:$B=$B29),-(dados!$C:$C&lt;=$C29)))</f>
        <v>42.177189999999996</v>
      </c>
      <c r="U29" s="48">
        <f>ABS(SUMPRODUCT(dados!U:U,-(dados!$B:$B=$B29),-(dados!$C:$C&lt;=$C29)))</f>
        <v>229.47023999999999</v>
      </c>
    </row>
    <row r="30" spans="1:21" x14ac:dyDescent="0.25">
      <c r="A30" t="str">
        <f>dados!A30</f>
        <v>20193</v>
      </c>
      <c r="B30">
        <f>dados!B30</f>
        <v>2019</v>
      </c>
      <c r="C30">
        <f>dados!C30</f>
        <v>3</v>
      </c>
      <c r="D30" s="14">
        <f>dados!D30</f>
        <v>43525</v>
      </c>
      <c r="E30" s="48">
        <f>ABS(SUMPRODUCT(dados!E:E,-(dados!$B:$B=$B30),-(dados!$C:$C&lt;=$C30)))</f>
        <v>266.54811999999998</v>
      </c>
      <c r="F30" s="48">
        <f>ABS(SUMPRODUCT(dados!F:F,-(dados!$B:$B=$B30),-(dados!$C:$C&lt;=$C30)))</f>
        <v>258.71000000000004</v>
      </c>
      <c r="G30" s="48">
        <f>ABS(SUMPRODUCT(dados!G:G,-(dados!$B:$B=$B30),-(dados!$C:$C&lt;=$C30)))</f>
        <v>230.85619</v>
      </c>
      <c r="H30" s="48">
        <f>ABS(SUMPRODUCT(dados!H:H,-(dados!$B:$B=$B30),-(dados!$C:$C&lt;=$C30)))</f>
        <v>275.57252</v>
      </c>
      <c r="I30" s="48">
        <f>ABS(SUMPRODUCT(dados!I:I,-(dados!$B:$B=$B30),-(dados!$C:$C&lt;=$C30)))</f>
        <v>401.02276000000006</v>
      </c>
      <c r="J30" s="48">
        <f>ABS(SUMPRODUCT(dados!J:J,-(dados!$B:$B=$B30),-(dados!$C:$C&lt;=$C30)))</f>
        <v>371.44859000000002</v>
      </c>
      <c r="K30" s="48">
        <f>ABS(SUMPRODUCT(dados!K:K,-(dados!$B:$B=$B30),-(dados!$C:$C&lt;=$C30)))</f>
        <v>0</v>
      </c>
      <c r="L30" s="48">
        <f>ABS(SUMPRODUCT(dados!L:L,-(dados!$B:$B=$B30),-(dados!$C:$C&lt;=$C30)))</f>
        <v>265.27760000000001</v>
      </c>
      <c r="M30" s="48">
        <f>ABS(SUMPRODUCT(dados!M:M,-(dados!$B:$B=$B30),-(dados!$C:$C&lt;=$C30)))</f>
        <v>249.31438000000003</v>
      </c>
      <c r="N30" s="48">
        <f>ABS(SUMPRODUCT(dados!N:N,-(dados!$B:$B=$B30),-(dados!$C:$C&lt;=$C30)))</f>
        <v>193.60679000000002</v>
      </c>
      <c r="O30" s="48">
        <f>ABS(SUMPRODUCT(dados!O:O,-(dados!$B:$B=$B30),-(dados!$C:$C&lt;=$C30)))</f>
        <v>306.26544000000001</v>
      </c>
      <c r="P30" s="48">
        <f>ABS(SUMPRODUCT(dados!P:P,-(dados!$B:$B=$B30),-(dados!$C:$C&lt;=$C30)))</f>
        <v>199.55644000000001</v>
      </c>
      <c r="Q30" s="48">
        <f>ABS(SUMPRODUCT(dados!Q:Q,-(dados!$B:$B=$B30),-(dados!$C:$C&lt;=$C30)))</f>
        <v>313.82711</v>
      </c>
      <c r="R30" s="48">
        <f>ABS(SUMPRODUCT(dados!R:R,-(dados!$B:$B=$B30),-(dados!$C:$C&lt;=$C30)))</f>
        <v>192.13524999999998</v>
      </c>
      <c r="S30" s="48">
        <f>ABS(SUMPRODUCT(dados!S:S,-(dados!$B:$B=$B30),-(dados!$C:$C&lt;=$C30)))</f>
        <v>275.149</v>
      </c>
      <c r="T30" s="48">
        <f>ABS(SUMPRODUCT(dados!T:T,-(dados!$B:$B=$B30),-(dados!$C:$C&lt;=$C30)))</f>
        <v>59.219519999999996</v>
      </c>
      <c r="U30" s="48">
        <f>ABS(SUMPRODUCT(dados!U:U,-(dados!$B:$B=$B30),-(dados!$C:$C&lt;=$C30)))</f>
        <v>343.16854000000001</v>
      </c>
    </row>
    <row r="31" spans="1:21" x14ac:dyDescent="0.25">
      <c r="A31" t="str">
        <f>dados!A31</f>
        <v>20194</v>
      </c>
      <c r="B31">
        <f>dados!B31</f>
        <v>2019</v>
      </c>
      <c r="C31">
        <f>dados!C31</f>
        <v>4</v>
      </c>
      <c r="D31" s="14">
        <f>dados!D31</f>
        <v>43556</v>
      </c>
      <c r="E31" s="48">
        <f>ABS(SUMPRODUCT(dados!E:E,-(dados!$B:$B=$B31),-(dados!$C:$C&lt;=$C31)))</f>
        <v>355.06067999999999</v>
      </c>
      <c r="F31" s="48">
        <f>ABS(SUMPRODUCT(dados!F:F,-(dados!$B:$B=$B31),-(dados!$C:$C&lt;=$C31)))</f>
        <v>342.45390000000003</v>
      </c>
      <c r="G31" s="48">
        <f>ABS(SUMPRODUCT(dados!G:G,-(dados!$B:$B=$B31),-(dados!$C:$C&lt;=$C31)))</f>
        <v>310.71753999999999</v>
      </c>
      <c r="H31" s="48">
        <f>ABS(SUMPRODUCT(dados!H:H,-(dados!$B:$B=$B31),-(dados!$C:$C&lt;=$C31)))</f>
        <v>361.6669</v>
      </c>
      <c r="I31" s="48">
        <f>ABS(SUMPRODUCT(dados!I:I,-(dados!$B:$B=$B31),-(dados!$C:$C&lt;=$C31)))</f>
        <v>511.10477000000003</v>
      </c>
      <c r="J31" s="48">
        <f>ABS(SUMPRODUCT(dados!J:J,-(dados!$B:$B=$B31),-(dados!$C:$C&lt;=$C31)))</f>
        <v>483.21087</v>
      </c>
      <c r="K31" s="48">
        <f>ABS(SUMPRODUCT(dados!K:K,-(dados!$B:$B=$B31),-(dados!$C:$C&lt;=$C31)))</f>
        <v>0</v>
      </c>
      <c r="L31" s="48">
        <f>ABS(SUMPRODUCT(dados!L:L,-(dados!$B:$B=$B31),-(dados!$C:$C&lt;=$C31)))</f>
        <v>341.51961</v>
      </c>
      <c r="M31" s="48">
        <f>ABS(SUMPRODUCT(dados!M:M,-(dados!$B:$B=$B31),-(dados!$C:$C&lt;=$C31)))</f>
        <v>330.39751000000001</v>
      </c>
      <c r="N31" s="48">
        <f>ABS(SUMPRODUCT(dados!N:N,-(dados!$B:$B=$B31),-(dados!$C:$C&lt;=$C31)))</f>
        <v>240.61433000000002</v>
      </c>
      <c r="O31" s="48">
        <f>ABS(SUMPRODUCT(dados!O:O,-(dados!$B:$B=$B31),-(dados!$C:$C&lt;=$C31)))</f>
        <v>411.40938</v>
      </c>
      <c r="P31" s="48">
        <f>ABS(SUMPRODUCT(dados!P:P,-(dados!$B:$B=$B31),-(dados!$C:$C&lt;=$C31)))</f>
        <v>273.63127000000003</v>
      </c>
      <c r="Q31" s="48">
        <f>ABS(SUMPRODUCT(dados!Q:Q,-(dados!$B:$B=$B31),-(dados!$C:$C&lt;=$C31)))</f>
        <v>413.94051000000002</v>
      </c>
      <c r="R31" s="48">
        <f>ABS(SUMPRODUCT(dados!R:R,-(dados!$B:$B=$B31),-(dados!$C:$C&lt;=$C31)))</f>
        <v>259.64778000000001</v>
      </c>
      <c r="S31" s="48">
        <f>ABS(SUMPRODUCT(dados!S:S,-(dados!$B:$B=$B31),-(dados!$C:$C&lt;=$C31)))</f>
        <v>380.56079999999997</v>
      </c>
      <c r="T31" s="48">
        <f>ABS(SUMPRODUCT(dados!T:T,-(dados!$B:$B=$B31),-(dados!$C:$C&lt;=$C31)))</f>
        <v>81.442160000000001</v>
      </c>
      <c r="U31" s="48">
        <f>ABS(SUMPRODUCT(dados!U:U,-(dados!$B:$B=$B31),-(dados!$C:$C&lt;=$C31)))</f>
        <v>458.86187000000001</v>
      </c>
    </row>
    <row r="32" spans="1:21" x14ac:dyDescent="0.25">
      <c r="A32" t="str">
        <f>dados!A32</f>
        <v>20195</v>
      </c>
      <c r="B32">
        <f>dados!B32</f>
        <v>2019</v>
      </c>
      <c r="C32">
        <f>dados!C32</f>
        <v>5</v>
      </c>
      <c r="D32" s="14">
        <f>dados!D32</f>
        <v>43586</v>
      </c>
      <c r="E32" s="48">
        <f>ABS(SUMPRODUCT(dados!E:E,-(dados!$B:$B=$B32),-(dados!$C:$C&lt;=$C32)))</f>
        <v>448.50900999999999</v>
      </c>
      <c r="F32" s="48">
        <f>ABS(SUMPRODUCT(dados!F:F,-(dados!$B:$B=$B32),-(dados!$C:$C&lt;=$C32)))</f>
        <v>435.30959000000001</v>
      </c>
      <c r="G32" s="48">
        <f>ABS(SUMPRODUCT(dados!G:G,-(dados!$B:$B=$B32),-(dados!$C:$C&lt;=$C32)))</f>
        <v>398.57495999999998</v>
      </c>
      <c r="H32" s="48">
        <f>ABS(SUMPRODUCT(dados!H:H,-(dados!$B:$B=$B32),-(dados!$C:$C&lt;=$C32)))</f>
        <v>457.54852</v>
      </c>
      <c r="I32" s="48">
        <f>ABS(SUMPRODUCT(dados!I:I,-(dados!$B:$B=$B32),-(dados!$C:$C&lt;=$C32)))</f>
        <v>603.35333000000003</v>
      </c>
      <c r="J32" s="48">
        <f>ABS(SUMPRODUCT(dados!J:J,-(dados!$B:$B=$B32),-(dados!$C:$C&lt;=$C32)))</f>
        <v>597.77682000000004</v>
      </c>
      <c r="K32" s="48">
        <f>ABS(SUMPRODUCT(dados!K:K,-(dados!$B:$B=$B32),-(dados!$C:$C&lt;=$C32)))</f>
        <v>0</v>
      </c>
      <c r="L32" s="48">
        <f>ABS(SUMPRODUCT(dados!L:L,-(dados!$B:$B=$B32),-(dados!$C:$C&lt;=$C32)))</f>
        <v>440.89895000000001</v>
      </c>
      <c r="M32" s="48">
        <f>ABS(SUMPRODUCT(dados!M:M,-(dados!$B:$B=$B32),-(dados!$C:$C&lt;=$C32)))</f>
        <v>415.89512999999999</v>
      </c>
      <c r="N32" s="48">
        <f>ABS(SUMPRODUCT(dados!N:N,-(dados!$B:$B=$B32),-(dados!$C:$C&lt;=$C32)))</f>
        <v>299.19472000000002</v>
      </c>
      <c r="O32" s="48">
        <f>ABS(SUMPRODUCT(dados!O:O,-(dados!$B:$B=$B32),-(dados!$C:$C&lt;=$C32)))</f>
        <v>520.06335999999999</v>
      </c>
      <c r="P32" s="48">
        <f>ABS(SUMPRODUCT(dados!P:P,-(dados!$B:$B=$B32),-(dados!$C:$C&lt;=$C32)))</f>
        <v>351.07114000000001</v>
      </c>
      <c r="Q32" s="48">
        <f>ABS(SUMPRODUCT(dados!Q:Q,-(dados!$B:$B=$B32),-(dados!$C:$C&lt;=$C32)))</f>
        <v>510.70947000000001</v>
      </c>
      <c r="R32" s="48">
        <f>ABS(SUMPRODUCT(dados!R:R,-(dados!$B:$B=$B32),-(dados!$C:$C&lt;=$C32)))</f>
        <v>331.50954999999999</v>
      </c>
      <c r="S32" s="48">
        <f>ABS(SUMPRODUCT(dados!S:S,-(dados!$B:$B=$B32),-(dados!$C:$C&lt;=$C32)))</f>
        <v>485.73617999999999</v>
      </c>
      <c r="T32" s="48">
        <f>ABS(SUMPRODUCT(dados!T:T,-(dados!$B:$B=$B32),-(dados!$C:$C&lt;=$C32)))</f>
        <v>103.67902000000001</v>
      </c>
      <c r="U32" s="48">
        <f>ABS(SUMPRODUCT(dados!U:U,-(dados!$B:$B=$B32),-(dados!$C:$C&lt;=$C32)))</f>
        <v>581.72783000000004</v>
      </c>
    </row>
    <row r="33" spans="1:21" x14ac:dyDescent="0.25">
      <c r="A33" t="str">
        <f>dados!A33</f>
        <v>20196</v>
      </c>
      <c r="B33">
        <f>dados!B33</f>
        <v>2019</v>
      </c>
      <c r="C33">
        <f>dados!C33</f>
        <v>6</v>
      </c>
      <c r="D33" s="14">
        <f>dados!D33</f>
        <v>43617</v>
      </c>
      <c r="E33" s="48">
        <f>ABS(SUMPRODUCT(dados!E:E,-(dados!$B:$B=$B33),-(dados!$C:$C&lt;=$C33)))</f>
        <v>534.10311000000002</v>
      </c>
      <c r="F33" s="48">
        <f>ABS(SUMPRODUCT(dados!F:F,-(dados!$B:$B=$B33),-(dados!$C:$C&lt;=$C33)))</f>
        <v>519.04331999999999</v>
      </c>
      <c r="G33" s="48">
        <f>ABS(SUMPRODUCT(dados!G:G,-(dados!$B:$B=$B33),-(dados!$C:$C&lt;=$C33)))</f>
        <v>475.36199999999997</v>
      </c>
      <c r="H33" s="48">
        <f>ABS(SUMPRODUCT(dados!H:H,-(dados!$B:$B=$B33),-(dados!$C:$C&lt;=$C33)))</f>
        <v>545.48774000000003</v>
      </c>
      <c r="I33" s="48">
        <f>ABS(SUMPRODUCT(dados!I:I,-(dados!$B:$B=$B33),-(dados!$C:$C&lt;=$C33)))</f>
        <v>693.60308000000009</v>
      </c>
      <c r="J33" s="48">
        <f>ABS(SUMPRODUCT(dados!J:J,-(dados!$B:$B=$B33),-(dados!$C:$C&lt;=$C33)))</f>
        <v>700.61913000000004</v>
      </c>
      <c r="K33" s="48">
        <f>ABS(SUMPRODUCT(dados!K:K,-(dados!$B:$B=$B33),-(dados!$C:$C&lt;=$C33)))</f>
        <v>0</v>
      </c>
      <c r="L33" s="48">
        <f>ABS(SUMPRODUCT(dados!L:L,-(dados!$B:$B=$B33),-(dados!$C:$C&lt;=$C33)))</f>
        <v>531.39391999999998</v>
      </c>
      <c r="M33" s="48">
        <f>ABS(SUMPRODUCT(dados!M:M,-(dados!$B:$B=$B33),-(dados!$C:$C&lt;=$C33)))</f>
        <v>492.09724999999997</v>
      </c>
      <c r="N33" s="48">
        <f>ABS(SUMPRODUCT(dados!N:N,-(dados!$B:$B=$B33),-(dados!$C:$C&lt;=$C33)))</f>
        <v>352.60539</v>
      </c>
      <c r="O33" s="48">
        <f>ABS(SUMPRODUCT(dados!O:O,-(dados!$B:$B=$B33),-(dados!$C:$C&lt;=$C33)))</f>
        <v>619.88900999999998</v>
      </c>
      <c r="P33" s="48">
        <f>ABS(SUMPRODUCT(dados!P:P,-(dados!$B:$B=$B33),-(dados!$C:$C&lt;=$C33)))</f>
        <v>424.88234</v>
      </c>
      <c r="Q33" s="48">
        <f>ABS(SUMPRODUCT(dados!Q:Q,-(dados!$B:$B=$B33),-(dados!$C:$C&lt;=$C33)))</f>
        <v>603.50908000000004</v>
      </c>
      <c r="R33" s="48">
        <f>ABS(SUMPRODUCT(dados!R:R,-(dados!$B:$B=$B33),-(dados!$C:$C&lt;=$C33)))</f>
        <v>397.39900999999998</v>
      </c>
      <c r="S33" s="48">
        <f>ABS(SUMPRODUCT(dados!S:S,-(dados!$B:$B=$B33),-(dados!$C:$C&lt;=$C33)))</f>
        <v>578.16194999999993</v>
      </c>
      <c r="T33" s="48">
        <f>ABS(SUMPRODUCT(dados!T:T,-(dados!$B:$B=$B33),-(dados!$C:$C&lt;=$C33)))</f>
        <v>129.68138000000002</v>
      </c>
      <c r="U33" s="48">
        <f>ABS(SUMPRODUCT(dados!U:U,-(dados!$B:$B=$B33),-(dados!$C:$C&lt;=$C33)))</f>
        <v>694.72791000000007</v>
      </c>
    </row>
    <row r="34" spans="1:21" x14ac:dyDescent="0.25">
      <c r="A34" t="str">
        <f>dados!A34</f>
        <v>20197</v>
      </c>
      <c r="B34">
        <f>dados!B34</f>
        <v>2019</v>
      </c>
      <c r="C34">
        <f>dados!C34</f>
        <v>7</v>
      </c>
      <c r="D34" s="14">
        <f>dados!D34</f>
        <v>43647</v>
      </c>
      <c r="E34" s="48">
        <f>ABS(SUMPRODUCT(dados!E:E,-(dados!$B:$B=$B34),-(dados!$C:$C&lt;=$C34)))</f>
        <v>626.16272000000004</v>
      </c>
      <c r="F34" s="48">
        <f>ABS(SUMPRODUCT(dados!F:F,-(dados!$B:$B=$B34),-(dados!$C:$C&lt;=$C34)))</f>
        <v>615.01616999999999</v>
      </c>
      <c r="G34" s="48">
        <f>ABS(SUMPRODUCT(dados!G:G,-(dados!$B:$B=$B34),-(dados!$C:$C&lt;=$C34)))</f>
        <v>566.22793999999999</v>
      </c>
      <c r="H34" s="48">
        <f>ABS(SUMPRODUCT(dados!H:H,-(dados!$B:$B=$B34),-(dados!$C:$C&lt;=$C34)))</f>
        <v>644.55229000000008</v>
      </c>
      <c r="I34" s="48">
        <f>ABS(SUMPRODUCT(dados!I:I,-(dados!$B:$B=$B34),-(dados!$C:$C&lt;=$C34)))</f>
        <v>812.84714000000008</v>
      </c>
      <c r="J34" s="48">
        <f>ABS(SUMPRODUCT(dados!J:J,-(dados!$B:$B=$B34),-(dados!$C:$C&lt;=$C34)))</f>
        <v>803.95572000000004</v>
      </c>
      <c r="K34" s="48">
        <f>ABS(SUMPRODUCT(dados!K:K,-(dados!$B:$B=$B34),-(dados!$C:$C&lt;=$C34)))</f>
        <v>0</v>
      </c>
      <c r="L34" s="48">
        <f>ABS(SUMPRODUCT(dados!L:L,-(dados!$B:$B=$B34),-(dados!$C:$C&lt;=$C34)))</f>
        <v>633.80087000000003</v>
      </c>
      <c r="M34" s="48">
        <f>ABS(SUMPRODUCT(dados!M:M,-(dados!$B:$B=$B34),-(dados!$C:$C&lt;=$C34)))</f>
        <v>591.39231999999993</v>
      </c>
      <c r="N34" s="48">
        <f>ABS(SUMPRODUCT(dados!N:N,-(dados!$B:$B=$B34),-(dados!$C:$C&lt;=$C34)))</f>
        <v>408.79820999999998</v>
      </c>
      <c r="O34" s="48">
        <f>ABS(SUMPRODUCT(dados!O:O,-(dados!$B:$B=$B34),-(dados!$C:$C&lt;=$C34)))</f>
        <v>727.18124999999998</v>
      </c>
      <c r="P34" s="48">
        <f>ABS(SUMPRODUCT(dados!P:P,-(dados!$B:$B=$B34),-(dados!$C:$C&lt;=$C34)))</f>
        <v>504.90738999999996</v>
      </c>
      <c r="Q34" s="48">
        <f>ABS(SUMPRODUCT(dados!Q:Q,-(dados!$B:$B=$B34),-(dados!$C:$C&lt;=$C34)))</f>
        <v>696.40422000000001</v>
      </c>
      <c r="R34" s="48">
        <f>ABS(SUMPRODUCT(dados!R:R,-(dados!$B:$B=$B34),-(dados!$C:$C&lt;=$C34)))</f>
        <v>470.40176999999994</v>
      </c>
      <c r="S34" s="48">
        <f>ABS(SUMPRODUCT(dados!S:S,-(dados!$B:$B=$B34),-(dados!$C:$C&lt;=$C34)))</f>
        <v>695.50790999999992</v>
      </c>
      <c r="T34" s="48">
        <f>ABS(SUMPRODUCT(dados!T:T,-(dados!$B:$B=$B34),-(dados!$C:$C&lt;=$C34)))</f>
        <v>168.83864000000003</v>
      </c>
      <c r="U34" s="48">
        <f>ABS(SUMPRODUCT(dados!U:U,-(dados!$B:$B=$B34),-(dados!$C:$C&lt;=$C34)))</f>
        <v>815.05391000000009</v>
      </c>
    </row>
    <row r="35" spans="1:21" x14ac:dyDescent="0.25">
      <c r="A35" t="str">
        <f>dados!A35</f>
        <v>20198</v>
      </c>
      <c r="B35">
        <f>dados!B35</f>
        <v>2019</v>
      </c>
      <c r="C35">
        <f>dados!C35</f>
        <v>8</v>
      </c>
      <c r="D35" s="14">
        <f>dados!D35</f>
        <v>43678</v>
      </c>
      <c r="E35" s="48">
        <f>ABS(SUMPRODUCT(dados!E:E,-(dados!$B:$B=$B35),-(dados!$C:$C&lt;=$C35)))</f>
        <v>718.95612000000006</v>
      </c>
      <c r="F35" s="48">
        <f>ABS(SUMPRODUCT(dados!F:F,-(dados!$B:$B=$B35),-(dados!$C:$C&lt;=$C35)))</f>
        <v>710.90931</v>
      </c>
      <c r="G35" s="48">
        <f>ABS(SUMPRODUCT(dados!G:G,-(dados!$B:$B=$B35),-(dados!$C:$C&lt;=$C35)))</f>
        <v>664.47671000000003</v>
      </c>
      <c r="H35" s="48">
        <f>ABS(SUMPRODUCT(dados!H:H,-(dados!$B:$B=$B35),-(dados!$C:$C&lt;=$C35)))</f>
        <v>739.01934000000006</v>
      </c>
      <c r="I35" s="48">
        <f>ABS(SUMPRODUCT(dados!I:I,-(dados!$B:$B=$B35),-(dados!$C:$C&lt;=$C35)))</f>
        <v>929.7855800000001</v>
      </c>
      <c r="J35" s="48">
        <f>ABS(SUMPRODUCT(dados!J:J,-(dados!$B:$B=$B35),-(dados!$C:$C&lt;=$C35)))</f>
        <v>905.0009500000001</v>
      </c>
      <c r="K35" s="48">
        <f>ABS(SUMPRODUCT(dados!K:K,-(dados!$B:$B=$B35),-(dados!$C:$C&lt;=$C35)))</f>
        <v>0</v>
      </c>
      <c r="L35" s="48">
        <f>ABS(SUMPRODUCT(dados!L:L,-(dados!$B:$B=$B35),-(dados!$C:$C&lt;=$C35)))</f>
        <v>728.65454999999997</v>
      </c>
      <c r="M35" s="48">
        <f>ABS(SUMPRODUCT(dados!M:M,-(dados!$B:$B=$B35),-(dados!$C:$C&lt;=$C35)))</f>
        <v>705.77542999999991</v>
      </c>
      <c r="N35" s="48">
        <f>ABS(SUMPRODUCT(dados!N:N,-(dados!$B:$B=$B35),-(dados!$C:$C&lt;=$C35)))</f>
        <v>464.05786000000001</v>
      </c>
      <c r="O35" s="48">
        <f>ABS(SUMPRODUCT(dados!O:O,-(dados!$B:$B=$B35),-(dados!$C:$C&lt;=$C35)))</f>
        <v>835.99170000000004</v>
      </c>
      <c r="P35" s="48">
        <f>ABS(SUMPRODUCT(dados!P:P,-(dados!$B:$B=$B35),-(dados!$C:$C&lt;=$C35)))</f>
        <v>588.56173000000001</v>
      </c>
      <c r="Q35" s="48">
        <f>ABS(SUMPRODUCT(dados!Q:Q,-(dados!$B:$B=$B35),-(dados!$C:$C&lt;=$C35)))</f>
        <v>778.96857999999997</v>
      </c>
      <c r="R35" s="48">
        <f>ABS(SUMPRODUCT(dados!R:R,-(dados!$B:$B=$B35),-(dados!$C:$C&lt;=$C35)))</f>
        <v>543.46064999999999</v>
      </c>
      <c r="S35" s="48">
        <f>ABS(SUMPRODUCT(dados!S:S,-(dados!$B:$B=$B35),-(dados!$C:$C&lt;=$C35)))</f>
        <v>804.01973999999996</v>
      </c>
      <c r="T35" s="48">
        <f>ABS(SUMPRODUCT(dados!T:T,-(dados!$B:$B=$B35),-(dados!$C:$C&lt;=$C35)))</f>
        <v>212.31394000000003</v>
      </c>
      <c r="U35" s="48">
        <f>ABS(SUMPRODUCT(dados!U:U,-(dados!$B:$B=$B35),-(dados!$C:$C&lt;=$C35)))</f>
        <v>928.00260000000003</v>
      </c>
    </row>
    <row r="36" spans="1:21" x14ac:dyDescent="0.25">
      <c r="A36" t="str">
        <f>dados!A36</f>
        <v>20199</v>
      </c>
      <c r="B36">
        <f>dados!B36</f>
        <v>2019</v>
      </c>
      <c r="C36">
        <f>dados!C36</f>
        <v>9</v>
      </c>
      <c r="D36" s="14">
        <f>dados!D36</f>
        <v>43709</v>
      </c>
      <c r="E36" s="48">
        <f>ABS(SUMPRODUCT(dados!E:E,-(dados!$B:$B=$B36),-(dados!$C:$C&lt;=$C36)))</f>
        <v>812.1540500000001</v>
      </c>
      <c r="F36" s="48">
        <f>ABS(SUMPRODUCT(dados!F:F,-(dados!$B:$B=$B36),-(dados!$C:$C&lt;=$C36)))</f>
        <v>805.11788999999999</v>
      </c>
      <c r="G36" s="48">
        <f>ABS(SUMPRODUCT(dados!G:G,-(dados!$B:$B=$B36),-(dados!$C:$C&lt;=$C36)))</f>
        <v>756.87191000000007</v>
      </c>
      <c r="H36" s="48">
        <f>ABS(SUMPRODUCT(dados!H:H,-(dados!$B:$B=$B36),-(dados!$C:$C&lt;=$C36)))</f>
        <v>834.32573000000002</v>
      </c>
      <c r="I36" s="48">
        <f>ABS(SUMPRODUCT(dados!I:I,-(dados!$B:$B=$B36),-(dados!$C:$C&lt;=$C36)))</f>
        <v>1061.8660600000001</v>
      </c>
      <c r="J36" s="48">
        <f>ABS(SUMPRODUCT(dados!J:J,-(dados!$B:$B=$B36),-(dados!$C:$C&lt;=$C36)))</f>
        <v>1011.0689800000001</v>
      </c>
      <c r="K36" s="48">
        <f>ABS(SUMPRODUCT(dados!K:K,-(dados!$B:$B=$B36),-(dados!$C:$C&lt;=$C36)))</f>
        <v>0</v>
      </c>
      <c r="L36" s="48">
        <f>ABS(SUMPRODUCT(dados!L:L,-(dados!$B:$B=$B36),-(dados!$C:$C&lt;=$C36)))</f>
        <v>822.97593999999992</v>
      </c>
      <c r="M36" s="48">
        <f>ABS(SUMPRODUCT(dados!M:M,-(dados!$B:$B=$B36),-(dados!$C:$C&lt;=$C36)))</f>
        <v>831.2503999999999</v>
      </c>
      <c r="N36" s="48">
        <f>ABS(SUMPRODUCT(dados!N:N,-(dados!$B:$B=$B36),-(dados!$C:$C&lt;=$C36)))</f>
        <v>518.16087000000005</v>
      </c>
      <c r="O36" s="48">
        <f>ABS(SUMPRODUCT(dados!O:O,-(dados!$B:$B=$B36),-(dados!$C:$C&lt;=$C36)))</f>
        <v>940.42073000000005</v>
      </c>
      <c r="P36" s="48">
        <f>ABS(SUMPRODUCT(dados!P:P,-(dados!$B:$B=$B36),-(dados!$C:$C&lt;=$C36)))</f>
        <v>665.04692999999997</v>
      </c>
      <c r="Q36" s="48">
        <f>ABS(SUMPRODUCT(dados!Q:Q,-(dados!$B:$B=$B36),-(dados!$C:$C&lt;=$C36)))</f>
        <v>868.98586999999998</v>
      </c>
      <c r="R36" s="48">
        <f>ABS(SUMPRODUCT(dados!R:R,-(dados!$B:$B=$B36),-(dados!$C:$C&lt;=$C36)))</f>
        <v>613.27295000000004</v>
      </c>
      <c r="S36" s="48">
        <f>ABS(SUMPRODUCT(dados!S:S,-(dados!$B:$B=$B36),-(dados!$C:$C&lt;=$C36)))</f>
        <v>908.12207999999998</v>
      </c>
      <c r="T36" s="48">
        <f>ABS(SUMPRODUCT(dados!T:T,-(dados!$B:$B=$B36),-(dados!$C:$C&lt;=$C36)))</f>
        <v>253.71314000000004</v>
      </c>
      <c r="U36" s="48">
        <f>ABS(SUMPRODUCT(dados!U:U,-(dados!$B:$B=$B36),-(dados!$C:$C&lt;=$C36)))</f>
        <v>1037.36519</v>
      </c>
    </row>
    <row r="37" spans="1:21" x14ac:dyDescent="0.25">
      <c r="A37" t="str">
        <f>dados!A37</f>
        <v>201910</v>
      </c>
      <c r="B37">
        <f>dados!B37</f>
        <v>2019</v>
      </c>
      <c r="C37">
        <f>dados!C37</f>
        <v>10</v>
      </c>
      <c r="D37" s="14">
        <f>dados!D37</f>
        <v>43739</v>
      </c>
      <c r="E37" s="48">
        <f>ABS(SUMPRODUCT(dados!E:E,-(dados!$B:$B=$B37),-(dados!$C:$C&lt;=$C37)))</f>
        <v>907.37153000000012</v>
      </c>
      <c r="F37" s="48">
        <f>ABS(SUMPRODUCT(dados!F:F,-(dados!$B:$B=$B37),-(dados!$C:$C&lt;=$C37)))</f>
        <v>905.93922999999995</v>
      </c>
      <c r="G37" s="48">
        <f>ABS(SUMPRODUCT(dados!G:G,-(dados!$B:$B=$B37),-(dados!$C:$C&lt;=$C37)))</f>
        <v>853.06495000000007</v>
      </c>
      <c r="H37" s="48">
        <f>ABS(SUMPRODUCT(dados!H:H,-(dados!$B:$B=$B37),-(dados!$C:$C&lt;=$C37)))</f>
        <v>937.94901000000004</v>
      </c>
      <c r="I37" s="48">
        <f>ABS(SUMPRODUCT(dados!I:I,-(dados!$B:$B=$B37),-(dados!$C:$C&lt;=$C37)))</f>
        <v>1215.98821</v>
      </c>
      <c r="J37" s="48">
        <f>ABS(SUMPRODUCT(dados!J:J,-(dados!$B:$B=$B37),-(dados!$C:$C&lt;=$C37)))</f>
        <v>1134.4749800000002</v>
      </c>
      <c r="K37" s="48">
        <f>ABS(SUMPRODUCT(dados!K:K,-(dados!$B:$B=$B37),-(dados!$C:$C&lt;=$C37)))</f>
        <v>0</v>
      </c>
      <c r="L37" s="48">
        <f>ABS(SUMPRODUCT(dados!L:L,-(dados!$B:$B=$B37),-(dados!$C:$C&lt;=$C37)))</f>
        <v>929.60323999999991</v>
      </c>
      <c r="M37" s="48">
        <f>ABS(SUMPRODUCT(dados!M:M,-(dados!$B:$B=$B37),-(dados!$C:$C&lt;=$C37)))</f>
        <v>938.49902999999995</v>
      </c>
      <c r="N37" s="48">
        <f>ABS(SUMPRODUCT(dados!N:N,-(dados!$B:$B=$B37),-(dados!$C:$C&lt;=$C37)))</f>
        <v>572.82272</v>
      </c>
      <c r="O37" s="48">
        <f>ABS(SUMPRODUCT(dados!O:O,-(dados!$B:$B=$B37),-(dados!$C:$C&lt;=$C37)))</f>
        <v>1046.3981800000001</v>
      </c>
      <c r="P37" s="48">
        <f>ABS(SUMPRODUCT(dados!P:P,-(dados!$B:$B=$B37),-(dados!$C:$C&lt;=$C37)))</f>
        <v>749.42104999999992</v>
      </c>
      <c r="Q37" s="48">
        <f>ABS(SUMPRODUCT(dados!Q:Q,-(dados!$B:$B=$B37),-(dados!$C:$C&lt;=$C37)))</f>
        <v>959.67112999999995</v>
      </c>
      <c r="R37" s="48">
        <f>ABS(SUMPRODUCT(dados!R:R,-(dados!$B:$B=$B37),-(dados!$C:$C&lt;=$C37)))</f>
        <v>687.26737000000003</v>
      </c>
      <c r="S37" s="48">
        <f>ABS(SUMPRODUCT(dados!S:S,-(dados!$B:$B=$B37),-(dados!$C:$C&lt;=$C37)))</f>
        <v>1028.2125100000001</v>
      </c>
      <c r="T37" s="48">
        <f>ABS(SUMPRODUCT(dados!T:T,-(dados!$B:$B=$B37),-(dados!$C:$C&lt;=$C37)))</f>
        <v>299.50881000000004</v>
      </c>
      <c r="U37" s="48">
        <f>ABS(SUMPRODUCT(dados!U:U,-(dados!$B:$B=$B37),-(dados!$C:$C&lt;=$C37)))</f>
        <v>1157.5387699999999</v>
      </c>
    </row>
    <row r="38" spans="1:21" x14ac:dyDescent="0.25">
      <c r="A38" t="str">
        <f>dados!A38</f>
        <v>201911</v>
      </c>
      <c r="B38">
        <f>dados!B38</f>
        <v>2019</v>
      </c>
      <c r="C38">
        <f>dados!C38</f>
        <v>11</v>
      </c>
      <c r="D38" s="14">
        <f>dados!D38</f>
        <v>43770</v>
      </c>
      <c r="E38" s="48">
        <f>ABS(SUMPRODUCT(dados!E:E,-(dados!$B:$B=$B38),-(dados!$C:$C&lt;=$C38)))</f>
        <v>1006.3511600000002</v>
      </c>
      <c r="F38" s="48">
        <f>ABS(SUMPRODUCT(dados!F:F,-(dados!$B:$B=$B38),-(dados!$C:$C&lt;=$C38)))</f>
        <v>1006.2629099999999</v>
      </c>
      <c r="G38" s="48">
        <f>ABS(SUMPRODUCT(dados!G:G,-(dados!$B:$B=$B38),-(dados!$C:$C&lt;=$C38)))</f>
        <v>953.24110000000007</v>
      </c>
      <c r="H38" s="48">
        <f>ABS(SUMPRODUCT(dados!H:H,-(dados!$B:$B=$B38),-(dados!$C:$C&lt;=$C38)))</f>
        <v>1038.3620000000001</v>
      </c>
      <c r="I38" s="48">
        <f>ABS(SUMPRODUCT(dados!I:I,-(dados!$B:$B=$B38),-(dados!$C:$C&lt;=$C38)))</f>
        <v>1346.0955300000001</v>
      </c>
      <c r="J38" s="48">
        <f>ABS(SUMPRODUCT(dados!J:J,-(dados!$B:$B=$B38),-(dados!$C:$C&lt;=$C38)))</f>
        <v>1260.9488500000002</v>
      </c>
      <c r="K38" s="48">
        <f>ABS(SUMPRODUCT(dados!K:K,-(dados!$B:$B=$B38),-(dados!$C:$C&lt;=$C38)))</f>
        <v>0</v>
      </c>
      <c r="L38" s="48">
        <f>ABS(SUMPRODUCT(dados!L:L,-(dados!$B:$B=$B38),-(dados!$C:$C&lt;=$C38)))</f>
        <v>1039.9850199999998</v>
      </c>
      <c r="M38" s="48">
        <f>ABS(SUMPRODUCT(dados!M:M,-(dados!$B:$B=$B38),-(dados!$C:$C&lt;=$C38)))</f>
        <v>1034.12426</v>
      </c>
      <c r="N38" s="48">
        <f>ABS(SUMPRODUCT(dados!N:N,-(dados!$B:$B=$B38),-(dados!$C:$C&lt;=$C38)))</f>
        <v>628.57150999999999</v>
      </c>
      <c r="O38" s="48">
        <f>ABS(SUMPRODUCT(dados!O:O,-(dados!$B:$B=$B38),-(dados!$C:$C&lt;=$C38)))</f>
        <v>1147.5997800000002</v>
      </c>
      <c r="P38" s="48">
        <f>ABS(SUMPRODUCT(dados!P:P,-(dados!$B:$B=$B38),-(dados!$C:$C&lt;=$C38)))</f>
        <v>831.14271999999994</v>
      </c>
      <c r="Q38" s="48">
        <f>ABS(SUMPRODUCT(dados!Q:Q,-(dados!$B:$B=$B38),-(dados!$C:$C&lt;=$C38)))</f>
        <v>1060.5826499999998</v>
      </c>
      <c r="R38" s="48">
        <f>ABS(SUMPRODUCT(dados!R:R,-(dados!$B:$B=$B38),-(dados!$C:$C&lt;=$C38)))</f>
        <v>757.39521000000002</v>
      </c>
      <c r="S38" s="48">
        <f>ABS(SUMPRODUCT(dados!S:S,-(dados!$B:$B=$B38),-(dados!$C:$C&lt;=$C38)))</f>
        <v>1114.5792900000001</v>
      </c>
      <c r="T38" s="48">
        <f>ABS(SUMPRODUCT(dados!T:T,-(dados!$B:$B=$B38),-(dados!$C:$C&lt;=$C38)))</f>
        <v>340.61626000000001</v>
      </c>
      <c r="U38" s="48">
        <f>ABS(SUMPRODUCT(dados!U:U,-(dados!$B:$B=$B38),-(dados!$C:$C&lt;=$C38)))</f>
        <v>1268.09366</v>
      </c>
    </row>
    <row r="39" spans="1:21" x14ac:dyDescent="0.25">
      <c r="A39" t="str">
        <f>dados!A39</f>
        <v>201912</v>
      </c>
      <c r="B39">
        <f>dados!B39</f>
        <v>2019</v>
      </c>
      <c r="C39">
        <f>dados!C39</f>
        <v>12</v>
      </c>
      <c r="D39" s="14">
        <f>dados!D39</f>
        <v>43800</v>
      </c>
      <c r="E39" s="48">
        <f>ABS(SUMPRODUCT(dados!E:E,-(dados!$B:$B=$B39),-(dados!$C:$C&lt;=$C39)))</f>
        <v>1101.1148200000002</v>
      </c>
      <c r="F39" s="48">
        <f>ABS(SUMPRODUCT(dados!F:F,-(dados!$B:$B=$B39),-(dados!$C:$C&lt;=$C39)))</f>
        <v>1101.2388799999999</v>
      </c>
      <c r="G39" s="48">
        <f>ABS(SUMPRODUCT(dados!G:G,-(dados!$B:$B=$B39),-(dados!$C:$C&lt;=$C39)))</f>
        <v>1058.1717700000002</v>
      </c>
      <c r="H39" s="48">
        <f>ABS(SUMPRODUCT(dados!H:H,-(dados!$B:$B=$B39),-(dados!$C:$C&lt;=$C39)))</f>
        <v>1127.3114500000001</v>
      </c>
      <c r="I39" s="48">
        <f>ABS(SUMPRODUCT(dados!I:I,-(dados!$B:$B=$B39),-(dados!$C:$C&lt;=$C39)))</f>
        <v>1445.2850100000001</v>
      </c>
      <c r="J39" s="48">
        <f>ABS(SUMPRODUCT(dados!J:J,-(dados!$B:$B=$B39),-(dados!$C:$C&lt;=$C39)))</f>
        <v>1405.7284700000002</v>
      </c>
      <c r="K39" s="48">
        <f>ABS(SUMPRODUCT(dados!K:K,-(dados!$B:$B=$B39),-(dados!$C:$C&lt;=$C39)))</f>
        <v>0</v>
      </c>
      <c r="L39" s="48">
        <f>ABS(SUMPRODUCT(dados!L:L,-(dados!$B:$B=$B39),-(dados!$C:$C&lt;=$C39)))</f>
        <v>1138.5370899999998</v>
      </c>
      <c r="M39" s="48">
        <f>ABS(SUMPRODUCT(dados!M:M,-(dados!$B:$B=$B39),-(dados!$C:$C&lt;=$C39)))</f>
        <v>1102.37456</v>
      </c>
      <c r="N39" s="48">
        <f>ABS(SUMPRODUCT(dados!N:N,-(dados!$B:$B=$B39),-(dados!$C:$C&lt;=$C39)))</f>
        <v>681.87381000000005</v>
      </c>
      <c r="O39" s="48">
        <f>ABS(SUMPRODUCT(dados!O:O,-(dados!$B:$B=$B39),-(dados!$C:$C&lt;=$C39)))</f>
        <v>1222.2660800000003</v>
      </c>
      <c r="P39" s="48">
        <f>ABS(SUMPRODUCT(dados!P:P,-(dados!$B:$B=$B39),-(dados!$C:$C&lt;=$C39)))</f>
        <v>909.68824999999993</v>
      </c>
      <c r="Q39" s="48">
        <f>ABS(SUMPRODUCT(dados!Q:Q,-(dados!$B:$B=$B39),-(dados!$C:$C&lt;=$C39)))</f>
        <v>1163.7112899999997</v>
      </c>
      <c r="R39" s="48">
        <f>ABS(SUMPRODUCT(dados!R:R,-(dados!$B:$B=$B39),-(dados!$C:$C&lt;=$C39)))</f>
        <v>820.60567000000003</v>
      </c>
      <c r="S39" s="48">
        <f>ABS(SUMPRODUCT(dados!S:S,-(dados!$B:$B=$B39),-(dados!$C:$C&lt;=$C39)))</f>
        <v>1170.4569900000001</v>
      </c>
      <c r="T39" s="48">
        <f>ABS(SUMPRODUCT(dados!T:T,-(dados!$B:$B=$B39),-(dados!$C:$C&lt;=$C39)))</f>
        <v>371.36937</v>
      </c>
      <c r="U39" s="48">
        <f>ABS(SUMPRODUCT(dados!U:U,-(dados!$B:$B=$B39),-(dados!$C:$C&lt;=$C39)))</f>
        <v>1369.45462</v>
      </c>
    </row>
    <row r="40" spans="1:21" x14ac:dyDescent="0.25">
      <c r="A40" t="str">
        <f>dados!A40</f>
        <v>20201</v>
      </c>
      <c r="B40">
        <f>dados!B40</f>
        <v>2020</v>
      </c>
      <c r="C40">
        <f>dados!C40</f>
        <v>1</v>
      </c>
      <c r="D40" s="14">
        <f>dados!D40</f>
        <v>43831</v>
      </c>
      <c r="E40" s="48">
        <f>ABS(SUMPRODUCT(dados!E:E,-(dados!$B:$B=$B40),-(dados!$C:$C&lt;=$C40)))</f>
        <v>97.704549999999998</v>
      </c>
      <c r="F40" s="48">
        <f>ABS(SUMPRODUCT(dados!F:F,-(dados!$B:$B=$B40),-(dados!$C:$C&lt;=$C40)))</f>
        <v>98.953530000000001</v>
      </c>
      <c r="G40" s="48">
        <f>ABS(SUMPRODUCT(dados!G:G,-(dados!$B:$B=$B40),-(dados!$C:$C&lt;=$C40)))</f>
        <v>103.89245</v>
      </c>
      <c r="H40" s="48">
        <f>ABS(SUMPRODUCT(dados!H:H,-(dados!$B:$B=$B40),-(dados!$C:$C&lt;=$C40)))</f>
        <v>95.963549999999998</v>
      </c>
      <c r="I40" s="48">
        <f>ABS(SUMPRODUCT(dados!I:I,-(dados!$B:$B=$B40),-(dados!$C:$C&lt;=$C40)))</f>
        <v>95.671360000000007</v>
      </c>
      <c r="J40" s="48">
        <f>ABS(SUMPRODUCT(dados!J:J,-(dados!$B:$B=$B40),-(dados!$C:$C&lt;=$C40)))</f>
        <v>130.10747000000001</v>
      </c>
      <c r="K40" s="48">
        <f>ABS(SUMPRODUCT(dados!K:K,-(dados!$B:$B=$B40),-(dados!$C:$C&lt;=$C40)))</f>
        <v>0</v>
      </c>
      <c r="L40" s="48">
        <f>ABS(SUMPRODUCT(dados!L:L,-(dados!$B:$B=$B40),-(dados!$C:$C&lt;=$C40)))</f>
        <v>99.489949999999993</v>
      </c>
      <c r="M40" s="48">
        <f>ABS(SUMPRODUCT(dados!M:M,-(dados!$B:$B=$B40),-(dados!$C:$C&lt;=$C40)))</f>
        <v>85.051460000000006</v>
      </c>
      <c r="N40" s="48">
        <f>ABS(SUMPRODUCT(dados!N:N,-(dados!$B:$B=$B40),-(dados!$C:$C&lt;=$C40)))</f>
        <v>57.20035</v>
      </c>
      <c r="O40" s="48">
        <f>ABS(SUMPRODUCT(dados!O:O,-(dados!$B:$B=$B40),-(dados!$C:$C&lt;=$C40)))</f>
        <v>91.227109999999996</v>
      </c>
      <c r="P40" s="48">
        <f>ABS(SUMPRODUCT(dados!P:P,-(dados!$B:$B=$B40),-(dados!$C:$C&lt;=$C40)))</f>
        <v>73.738560000000007</v>
      </c>
      <c r="Q40" s="48">
        <f>ABS(SUMPRODUCT(dados!Q:Q,-(dados!$B:$B=$B40),-(dados!$C:$C&lt;=$C40)))</f>
        <v>104.87067999999999</v>
      </c>
      <c r="R40" s="48">
        <f>ABS(SUMPRODUCT(dados!R:R,-(dados!$B:$B=$B40),-(dados!$C:$C&lt;=$C40)))</f>
        <v>68.520809999999997</v>
      </c>
      <c r="S40" s="48">
        <f>ABS(SUMPRODUCT(dados!S:S,-(dados!$B:$B=$B40),-(dados!$C:$C&lt;=$C40)))</f>
        <v>106.38461</v>
      </c>
      <c r="T40" s="48">
        <f>ABS(SUMPRODUCT(dados!T:T,-(dados!$B:$B=$B40),-(dados!$C:$C&lt;=$C40)))</f>
        <v>31.582750000000001</v>
      </c>
      <c r="U40" s="48">
        <f>ABS(SUMPRODUCT(dados!U:U,-(dados!$B:$B=$B40),-(dados!$C:$C&lt;=$C40)))</f>
        <v>109.18693</v>
      </c>
    </row>
    <row r="41" spans="1:21" x14ac:dyDescent="0.25">
      <c r="A41" t="str">
        <f>dados!A41</f>
        <v>20202</v>
      </c>
      <c r="B41">
        <f>dados!B41</f>
        <v>2020</v>
      </c>
      <c r="C41">
        <f>dados!C41</f>
        <v>2</v>
      </c>
      <c r="D41" s="14">
        <f>dados!D41</f>
        <v>43862</v>
      </c>
      <c r="E41" s="48">
        <f>ABS(SUMPRODUCT(dados!E:E,-(dados!$B:$B=$B41),-(dados!$C:$C&lt;=$C41)))</f>
        <v>195.82295999999999</v>
      </c>
      <c r="F41" s="48">
        <f>ABS(SUMPRODUCT(dados!F:F,-(dados!$B:$B=$B41),-(dados!$C:$C&lt;=$C41)))</f>
        <v>189.48169999999999</v>
      </c>
      <c r="G41" s="48">
        <f>ABS(SUMPRODUCT(dados!G:G,-(dados!$B:$B=$B41),-(dados!$C:$C&lt;=$C41)))</f>
        <v>192.95671999999999</v>
      </c>
      <c r="H41" s="48">
        <f>ABS(SUMPRODUCT(dados!H:H,-(dados!$B:$B=$B41),-(dados!$C:$C&lt;=$C41)))</f>
        <v>187.37796</v>
      </c>
      <c r="I41" s="48">
        <f>ABS(SUMPRODUCT(dados!I:I,-(dados!$B:$B=$B41),-(dados!$C:$C&lt;=$C41)))</f>
        <v>181.76285000000001</v>
      </c>
      <c r="J41" s="48">
        <f>ABS(SUMPRODUCT(dados!J:J,-(dados!$B:$B=$B41),-(dados!$C:$C&lt;=$C41)))</f>
        <v>243.42954</v>
      </c>
      <c r="K41" s="48">
        <f>ABS(SUMPRODUCT(dados!K:K,-(dados!$B:$B=$B41),-(dados!$C:$C&lt;=$C41)))</f>
        <v>0</v>
      </c>
      <c r="L41" s="48">
        <f>ABS(SUMPRODUCT(dados!L:L,-(dados!$B:$B=$B41),-(dados!$C:$C&lt;=$C41)))</f>
        <v>195.89380999999997</v>
      </c>
      <c r="M41" s="48">
        <f>ABS(SUMPRODUCT(dados!M:M,-(dados!$B:$B=$B41),-(dados!$C:$C&lt;=$C41)))</f>
        <v>161.82345000000001</v>
      </c>
      <c r="N41" s="48">
        <f>ABS(SUMPRODUCT(dados!N:N,-(dados!$B:$B=$B41),-(dados!$C:$C&lt;=$C41)))</f>
        <v>109.52170000000001</v>
      </c>
      <c r="O41" s="48">
        <f>ABS(SUMPRODUCT(dados!O:O,-(dados!$B:$B=$B41),-(dados!$C:$C&lt;=$C41)))</f>
        <v>182.0421</v>
      </c>
      <c r="P41" s="48">
        <f>ABS(SUMPRODUCT(dados!P:P,-(dados!$B:$B=$B41),-(dados!$C:$C&lt;=$C41)))</f>
        <v>142.53003000000001</v>
      </c>
      <c r="Q41" s="48">
        <f>ABS(SUMPRODUCT(dados!Q:Q,-(dados!$B:$B=$B41),-(dados!$C:$C&lt;=$C41)))</f>
        <v>208.69601</v>
      </c>
      <c r="R41" s="48">
        <f>ABS(SUMPRODUCT(dados!R:R,-(dados!$B:$B=$B41),-(dados!$C:$C&lt;=$C41)))</f>
        <v>132.27287000000001</v>
      </c>
      <c r="S41" s="48">
        <f>ABS(SUMPRODUCT(dados!S:S,-(dados!$B:$B=$B41),-(dados!$C:$C&lt;=$C41)))</f>
        <v>204.39171999999999</v>
      </c>
      <c r="T41" s="48">
        <f>ABS(SUMPRODUCT(dados!T:T,-(dados!$B:$B=$B41),-(dados!$C:$C&lt;=$C41)))</f>
        <v>60.896160000000002</v>
      </c>
      <c r="U41" s="48">
        <f>ABS(SUMPRODUCT(dados!U:U,-(dados!$B:$B=$B41),-(dados!$C:$C&lt;=$C41)))</f>
        <v>218.64195000000001</v>
      </c>
    </row>
    <row r="42" spans="1:21" x14ac:dyDescent="0.25">
      <c r="A42" t="str">
        <f>dados!A42</f>
        <v>20203</v>
      </c>
      <c r="B42">
        <f>dados!B42</f>
        <v>2020</v>
      </c>
      <c r="C42">
        <f>dados!C42</f>
        <v>3</v>
      </c>
      <c r="D42" s="14">
        <f>dados!D42</f>
        <v>43891</v>
      </c>
      <c r="E42" s="48">
        <f>ABS(SUMPRODUCT(dados!E:E,-(dados!$B:$B=$B42),-(dados!$C:$C&lt;=$C42)))</f>
        <v>292.65118000000001</v>
      </c>
      <c r="F42" s="48">
        <f>ABS(SUMPRODUCT(dados!F:F,-(dados!$B:$B=$B42),-(dados!$C:$C&lt;=$C42)))</f>
        <v>284.55912999999998</v>
      </c>
      <c r="G42" s="48">
        <f>ABS(SUMPRODUCT(dados!G:G,-(dados!$B:$B=$B42),-(dados!$C:$C&lt;=$C42)))</f>
        <v>289.68191000000002</v>
      </c>
      <c r="H42" s="48">
        <f>ABS(SUMPRODUCT(dados!H:H,-(dados!$B:$B=$B42),-(dados!$C:$C&lt;=$C42)))</f>
        <v>281.45784000000003</v>
      </c>
      <c r="I42" s="48">
        <f>ABS(SUMPRODUCT(dados!I:I,-(dados!$B:$B=$B42),-(dados!$C:$C&lt;=$C42)))</f>
        <v>275.65571</v>
      </c>
      <c r="J42" s="48">
        <f>ABS(SUMPRODUCT(dados!J:J,-(dados!$B:$B=$B42),-(dados!$C:$C&lt;=$C42)))</f>
        <v>340.61106000000001</v>
      </c>
      <c r="K42" s="48">
        <f>ABS(SUMPRODUCT(dados!K:K,-(dados!$B:$B=$B42),-(dados!$C:$C&lt;=$C42)))</f>
        <v>0</v>
      </c>
      <c r="L42" s="48">
        <f>ABS(SUMPRODUCT(dados!L:L,-(dados!$B:$B=$B42),-(dados!$C:$C&lt;=$C42)))</f>
        <v>295.62824999999998</v>
      </c>
      <c r="M42" s="48">
        <f>ABS(SUMPRODUCT(dados!M:M,-(dados!$B:$B=$B42),-(dados!$C:$C&lt;=$C42)))</f>
        <v>249.04924</v>
      </c>
      <c r="N42" s="48">
        <f>ABS(SUMPRODUCT(dados!N:N,-(dados!$B:$B=$B42),-(dados!$C:$C&lt;=$C42)))</f>
        <v>178.4228</v>
      </c>
      <c r="O42" s="48">
        <f>ABS(SUMPRODUCT(dados!O:O,-(dados!$B:$B=$B42),-(dados!$C:$C&lt;=$C42)))</f>
        <v>278.92930999999999</v>
      </c>
      <c r="P42" s="48">
        <f>ABS(SUMPRODUCT(dados!P:P,-(dados!$B:$B=$B42),-(dados!$C:$C&lt;=$C42)))</f>
        <v>210.10681</v>
      </c>
      <c r="Q42" s="48">
        <f>ABS(SUMPRODUCT(dados!Q:Q,-(dados!$B:$B=$B42),-(dados!$C:$C&lt;=$C42)))</f>
        <v>323.06551000000002</v>
      </c>
      <c r="R42" s="48">
        <f>ABS(SUMPRODUCT(dados!R:R,-(dados!$B:$B=$B42),-(dados!$C:$C&lt;=$C42)))</f>
        <v>196.96979000000002</v>
      </c>
      <c r="S42" s="48">
        <f>ABS(SUMPRODUCT(dados!S:S,-(dados!$B:$B=$B42),-(dados!$C:$C&lt;=$C42)))</f>
        <v>287.03750000000002</v>
      </c>
      <c r="T42" s="48">
        <f>ABS(SUMPRODUCT(dados!T:T,-(dados!$B:$B=$B42),-(dados!$C:$C&lt;=$C42)))</f>
        <v>103.14320000000001</v>
      </c>
      <c r="U42" s="48">
        <f>ABS(SUMPRODUCT(dados!U:U,-(dados!$B:$B=$B42),-(dados!$C:$C&lt;=$C42)))</f>
        <v>331.05595</v>
      </c>
    </row>
    <row r="43" spans="1:21" x14ac:dyDescent="0.25">
      <c r="A43" t="str">
        <f>dados!A43</f>
        <v>20204</v>
      </c>
      <c r="B43">
        <f>dados!B43</f>
        <v>2020</v>
      </c>
      <c r="C43">
        <f>dados!C43</f>
        <v>4</v>
      </c>
      <c r="D43" s="14">
        <f>dados!D43</f>
        <v>43922</v>
      </c>
      <c r="E43" s="48">
        <f>ABS(SUMPRODUCT(dados!E:E,-(dados!$B:$B=$B43),-(dados!$C:$C&lt;=$C43)))</f>
        <v>377.08659999999998</v>
      </c>
      <c r="F43" s="48">
        <f>ABS(SUMPRODUCT(dados!F:F,-(dados!$B:$B=$B43),-(dados!$C:$C&lt;=$C43)))</f>
        <v>363.88724999999999</v>
      </c>
      <c r="G43" s="48">
        <f>ABS(SUMPRODUCT(dados!G:G,-(dados!$B:$B=$B43),-(dados!$C:$C&lt;=$C43)))</f>
        <v>386.95615000000004</v>
      </c>
      <c r="H43" s="48">
        <f>ABS(SUMPRODUCT(dados!H:H,-(dados!$B:$B=$B43),-(dados!$C:$C&lt;=$C43)))</f>
        <v>349.92149000000006</v>
      </c>
      <c r="I43" s="48">
        <f>ABS(SUMPRODUCT(dados!I:I,-(dados!$B:$B=$B43),-(dados!$C:$C&lt;=$C43)))</f>
        <v>357.72244999999998</v>
      </c>
      <c r="J43" s="48">
        <f>ABS(SUMPRODUCT(dados!J:J,-(dados!$B:$B=$B43),-(dados!$C:$C&lt;=$C43)))</f>
        <v>391.33204999999998</v>
      </c>
      <c r="K43" s="48">
        <f>ABS(SUMPRODUCT(dados!K:K,-(dados!$B:$B=$B43),-(dados!$C:$C&lt;=$C43)))</f>
        <v>0</v>
      </c>
      <c r="L43" s="48">
        <f>ABS(SUMPRODUCT(dados!L:L,-(dados!$B:$B=$B43),-(dados!$C:$C&lt;=$C43)))</f>
        <v>379.18079999999998</v>
      </c>
      <c r="M43" s="48">
        <f>ABS(SUMPRODUCT(dados!M:M,-(dados!$B:$B=$B43),-(dados!$C:$C&lt;=$C43)))</f>
        <v>325.17815000000002</v>
      </c>
      <c r="N43" s="48">
        <f>ABS(SUMPRODUCT(dados!N:N,-(dados!$B:$B=$B43),-(dados!$C:$C&lt;=$C43)))</f>
        <v>247.38726</v>
      </c>
      <c r="O43" s="48">
        <f>ABS(SUMPRODUCT(dados!O:O,-(dados!$B:$B=$B43),-(dados!$C:$C&lt;=$C43)))</f>
        <v>338.11782999999997</v>
      </c>
      <c r="P43" s="48">
        <f>ABS(SUMPRODUCT(dados!P:P,-(dados!$B:$B=$B43),-(dados!$C:$C&lt;=$C43)))</f>
        <v>267.32301999999999</v>
      </c>
      <c r="Q43" s="48">
        <f>ABS(SUMPRODUCT(dados!Q:Q,-(dados!$B:$B=$B43),-(dados!$C:$C&lt;=$C43)))</f>
        <v>399.81720000000001</v>
      </c>
      <c r="R43" s="48">
        <f>ABS(SUMPRODUCT(dados!R:R,-(dados!$B:$B=$B43),-(dados!$C:$C&lt;=$C43)))</f>
        <v>243.84160000000003</v>
      </c>
      <c r="S43" s="48">
        <f>ABS(SUMPRODUCT(dados!S:S,-(dados!$B:$B=$B43),-(dados!$C:$C&lt;=$C43)))</f>
        <v>291.05345</v>
      </c>
      <c r="T43" s="48">
        <f>ABS(SUMPRODUCT(dados!T:T,-(dados!$B:$B=$B43),-(dados!$C:$C&lt;=$C43)))</f>
        <v>132.44824</v>
      </c>
      <c r="U43" s="48">
        <f>ABS(SUMPRODUCT(dados!U:U,-(dados!$B:$B=$B43),-(dados!$C:$C&lt;=$C43)))</f>
        <v>424.34206</v>
      </c>
    </row>
    <row r="44" spans="1:21" x14ac:dyDescent="0.25">
      <c r="A44" t="str">
        <f>dados!A44</f>
        <v>20205</v>
      </c>
      <c r="B44">
        <f>dados!B44</f>
        <v>2020</v>
      </c>
      <c r="C44">
        <f>dados!C44</f>
        <v>5</v>
      </c>
      <c r="D44" s="14">
        <f>dados!D44</f>
        <v>43952</v>
      </c>
      <c r="E44" s="48">
        <f>ABS(SUMPRODUCT(dados!E:E,-(dados!$B:$B=$B44),-(dados!$C:$C&lt;=$C44)))</f>
        <v>462.17418999999995</v>
      </c>
      <c r="F44" s="48">
        <f>ABS(SUMPRODUCT(dados!F:F,-(dados!$B:$B=$B44),-(dados!$C:$C&lt;=$C44)))</f>
        <v>448.29368999999997</v>
      </c>
      <c r="G44" s="48">
        <f>ABS(SUMPRODUCT(dados!G:G,-(dados!$B:$B=$B44),-(dados!$C:$C&lt;=$C44)))</f>
        <v>477.64443000000006</v>
      </c>
      <c r="H44" s="48">
        <f>ABS(SUMPRODUCT(dados!H:H,-(dados!$B:$B=$B44),-(dados!$C:$C&lt;=$C44)))</f>
        <v>430.52495000000005</v>
      </c>
      <c r="I44" s="48">
        <f>ABS(SUMPRODUCT(dados!I:I,-(dados!$B:$B=$B44),-(dados!$C:$C&lt;=$C44)))</f>
        <v>436.48482000000001</v>
      </c>
      <c r="J44" s="48">
        <f>ABS(SUMPRODUCT(dados!J:J,-(dados!$B:$B=$B44),-(dados!$C:$C&lt;=$C44)))</f>
        <v>513.29024000000004</v>
      </c>
      <c r="K44" s="48">
        <f>ABS(SUMPRODUCT(dados!K:K,-(dados!$B:$B=$B44),-(dados!$C:$C&lt;=$C44)))</f>
        <v>0</v>
      </c>
      <c r="L44" s="48">
        <f>ABS(SUMPRODUCT(dados!L:L,-(dados!$B:$B=$B44),-(dados!$C:$C&lt;=$C44)))</f>
        <v>474.93180999999998</v>
      </c>
      <c r="M44" s="48">
        <f>ABS(SUMPRODUCT(dados!M:M,-(dados!$B:$B=$B44),-(dados!$C:$C&lt;=$C44)))</f>
        <v>402.06083999999998</v>
      </c>
      <c r="N44" s="48">
        <f>ABS(SUMPRODUCT(dados!N:N,-(dados!$B:$B=$B44),-(dados!$C:$C&lt;=$C44)))</f>
        <v>325.86906999999997</v>
      </c>
      <c r="O44" s="48">
        <f>ABS(SUMPRODUCT(dados!O:O,-(dados!$B:$B=$B44),-(dados!$C:$C&lt;=$C44)))</f>
        <v>386.81170999999995</v>
      </c>
      <c r="P44" s="48">
        <f>ABS(SUMPRODUCT(dados!P:P,-(dados!$B:$B=$B44),-(dados!$C:$C&lt;=$C44)))</f>
        <v>335.80574999999999</v>
      </c>
      <c r="Q44" s="48">
        <f>ABS(SUMPRODUCT(dados!Q:Q,-(dados!$B:$B=$B44),-(dados!$C:$C&lt;=$C44)))</f>
        <v>487.58743000000004</v>
      </c>
      <c r="R44" s="48">
        <f>ABS(SUMPRODUCT(dados!R:R,-(dados!$B:$B=$B44),-(dados!$C:$C&lt;=$C44)))</f>
        <v>297.14945</v>
      </c>
      <c r="S44" s="48">
        <f>ABS(SUMPRODUCT(dados!S:S,-(dados!$B:$B=$B44),-(dados!$C:$C&lt;=$C44)))</f>
        <v>313.29149999999998</v>
      </c>
      <c r="T44" s="48">
        <f>ABS(SUMPRODUCT(dados!T:T,-(dados!$B:$B=$B44),-(dados!$C:$C&lt;=$C44)))</f>
        <v>167.21404999999999</v>
      </c>
      <c r="U44" s="48">
        <f>ABS(SUMPRODUCT(dados!U:U,-(dados!$B:$B=$B44),-(dados!$C:$C&lt;=$C44)))</f>
        <v>518.83762999999999</v>
      </c>
    </row>
    <row r="45" spans="1:21" x14ac:dyDescent="0.25">
      <c r="A45" t="str">
        <f>dados!A45</f>
        <v>20206</v>
      </c>
      <c r="B45">
        <f>dados!B45</f>
        <v>2020</v>
      </c>
      <c r="C45">
        <f>dados!C45</f>
        <v>6</v>
      </c>
      <c r="D45" s="14">
        <f>dados!D45</f>
        <v>43983</v>
      </c>
      <c r="E45" s="48">
        <f>ABS(SUMPRODUCT(dados!E:E,-(dados!$B:$B=$B45),-(dados!$C:$C&lt;=$C45)))</f>
        <v>548.32795999999996</v>
      </c>
      <c r="F45" s="48">
        <f>ABS(SUMPRODUCT(dados!F:F,-(dados!$B:$B=$B45),-(dados!$C:$C&lt;=$C45)))</f>
        <v>532.49875999999995</v>
      </c>
      <c r="G45" s="48">
        <f>ABS(SUMPRODUCT(dados!G:G,-(dados!$B:$B=$B45),-(dados!$C:$C&lt;=$C45)))</f>
        <v>575.79846000000009</v>
      </c>
      <c r="H45" s="48">
        <f>ABS(SUMPRODUCT(dados!H:H,-(dados!$B:$B=$B45),-(dados!$C:$C&lt;=$C45)))</f>
        <v>506.28540000000004</v>
      </c>
      <c r="I45" s="48">
        <f>ABS(SUMPRODUCT(dados!I:I,-(dados!$B:$B=$B45),-(dados!$C:$C&lt;=$C45)))</f>
        <v>535.9135</v>
      </c>
      <c r="J45" s="48">
        <f>ABS(SUMPRODUCT(dados!J:J,-(dados!$B:$B=$B45),-(dados!$C:$C&lt;=$C45)))</f>
        <v>630.18122000000005</v>
      </c>
      <c r="K45" s="48">
        <f>ABS(SUMPRODUCT(dados!K:K,-(dados!$B:$B=$B45),-(dados!$C:$C&lt;=$C45)))</f>
        <v>0</v>
      </c>
      <c r="L45" s="48">
        <f>ABS(SUMPRODUCT(dados!L:L,-(dados!$B:$B=$B45),-(dados!$C:$C&lt;=$C45)))</f>
        <v>550.16603999999995</v>
      </c>
      <c r="M45" s="48">
        <f>ABS(SUMPRODUCT(dados!M:M,-(dados!$B:$B=$B45),-(dados!$C:$C&lt;=$C45)))</f>
        <v>492.99854999999997</v>
      </c>
      <c r="N45" s="48">
        <f>ABS(SUMPRODUCT(dados!N:N,-(dados!$B:$B=$B45),-(dados!$C:$C&lt;=$C45)))</f>
        <v>400.79318999999998</v>
      </c>
      <c r="O45" s="48">
        <f>ABS(SUMPRODUCT(dados!O:O,-(dados!$B:$B=$B45),-(dados!$C:$C&lt;=$C45)))</f>
        <v>461.78606999999994</v>
      </c>
      <c r="P45" s="48">
        <f>ABS(SUMPRODUCT(dados!P:P,-(dados!$B:$B=$B45),-(dados!$C:$C&lt;=$C45)))</f>
        <v>406.4101</v>
      </c>
      <c r="Q45" s="48">
        <f>ABS(SUMPRODUCT(dados!Q:Q,-(dados!$B:$B=$B45),-(dados!$C:$C&lt;=$C45)))</f>
        <v>570.35729000000003</v>
      </c>
      <c r="R45" s="48">
        <f>ABS(SUMPRODUCT(dados!R:R,-(dados!$B:$B=$B45),-(dados!$C:$C&lt;=$C45)))</f>
        <v>360.78541999999999</v>
      </c>
      <c r="S45" s="48">
        <f>ABS(SUMPRODUCT(dados!S:S,-(dados!$B:$B=$B45),-(dados!$C:$C&lt;=$C45)))</f>
        <v>345.79892000000001</v>
      </c>
      <c r="T45" s="48">
        <f>ABS(SUMPRODUCT(dados!T:T,-(dados!$B:$B=$B45),-(dados!$C:$C&lt;=$C45)))</f>
        <v>203.70648999999997</v>
      </c>
      <c r="U45" s="48">
        <f>ABS(SUMPRODUCT(dados!U:U,-(dados!$B:$B=$B45),-(dados!$C:$C&lt;=$C45)))</f>
        <v>611.57291999999995</v>
      </c>
    </row>
    <row r="46" spans="1:21" x14ac:dyDescent="0.25">
      <c r="A46" t="str">
        <f>dados!A46</f>
        <v>20207</v>
      </c>
      <c r="B46">
        <f>dados!B46</f>
        <v>2020</v>
      </c>
      <c r="C46">
        <f>dados!C46</f>
        <v>7</v>
      </c>
      <c r="D46" s="14">
        <f>dados!D46</f>
        <v>44013</v>
      </c>
      <c r="E46" s="48">
        <f>ABS(SUMPRODUCT(dados!E:E,-(dados!$B:$B=$B46),-(dados!$C:$C&lt;=$C46)))</f>
        <v>641.64943999999991</v>
      </c>
      <c r="F46" s="48">
        <f>ABS(SUMPRODUCT(dados!F:F,-(dados!$B:$B=$B46),-(dados!$C:$C&lt;=$C46)))</f>
        <v>629.94300999999996</v>
      </c>
      <c r="G46" s="48">
        <f>ABS(SUMPRODUCT(dados!G:G,-(dados!$B:$B=$B46),-(dados!$C:$C&lt;=$C46)))</f>
        <v>685.35810000000015</v>
      </c>
      <c r="H46" s="48">
        <f>ABS(SUMPRODUCT(dados!H:H,-(dados!$B:$B=$B46),-(dados!$C:$C&lt;=$C46)))</f>
        <v>596.39506000000006</v>
      </c>
      <c r="I46" s="48">
        <f>ABS(SUMPRODUCT(dados!I:I,-(dados!$B:$B=$B46),-(dados!$C:$C&lt;=$C46)))</f>
        <v>640.78044999999997</v>
      </c>
      <c r="J46" s="48">
        <f>ABS(SUMPRODUCT(dados!J:J,-(dados!$B:$B=$B46),-(dados!$C:$C&lt;=$C46)))</f>
        <v>744.38737000000003</v>
      </c>
      <c r="K46" s="48">
        <f>ABS(SUMPRODUCT(dados!K:K,-(dados!$B:$B=$B46),-(dados!$C:$C&lt;=$C46)))</f>
        <v>0</v>
      </c>
      <c r="L46" s="48">
        <f>ABS(SUMPRODUCT(dados!L:L,-(dados!$B:$B=$B46),-(dados!$C:$C&lt;=$C46)))</f>
        <v>636.49502999999993</v>
      </c>
      <c r="M46" s="48">
        <f>ABS(SUMPRODUCT(dados!M:M,-(dados!$B:$B=$B46),-(dados!$C:$C&lt;=$C46)))</f>
        <v>603.52697999999998</v>
      </c>
      <c r="N46" s="48">
        <f>ABS(SUMPRODUCT(dados!N:N,-(dados!$B:$B=$B46),-(dados!$C:$C&lt;=$C46)))</f>
        <v>483.30503999999996</v>
      </c>
      <c r="O46" s="48">
        <f>ABS(SUMPRODUCT(dados!O:O,-(dados!$B:$B=$B46),-(dados!$C:$C&lt;=$C46)))</f>
        <v>569.58203999999989</v>
      </c>
      <c r="P46" s="48">
        <f>ABS(SUMPRODUCT(dados!P:P,-(dados!$B:$B=$B46),-(dados!$C:$C&lt;=$C46)))</f>
        <v>492.96213999999998</v>
      </c>
      <c r="Q46" s="48">
        <f>ABS(SUMPRODUCT(dados!Q:Q,-(dados!$B:$B=$B46),-(dados!$C:$C&lt;=$C46)))</f>
        <v>665.93427000000008</v>
      </c>
      <c r="R46" s="48">
        <f>ABS(SUMPRODUCT(dados!R:R,-(dados!$B:$B=$B46),-(dados!$C:$C&lt;=$C46)))</f>
        <v>439.84836999999999</v>
      </c>
      <c r="S46" s="48">
        <f>ABS(SUMPRODUCT(dados!S:S,-(dados!$B:$B=$B46),-(dados!$C:$C&lt;=$C46)))</f>
        <v>417.42534999999998</v>
      </c>
      <c r="T46" s="48">
        <f>ABS(SUMPRODUCT(dados!T:T,-(dados!$B:$B=$B46),-(dados!$C:$C&lt;=$C46)))</f>
        <v>242.29321999999996</v>
      </c>
      <c r="U46" s="48">
        <f>ABS(SUMPRODUCT(dados!U:U,-(dados!$B:$B=$B46),-(dados!$C:$C&lt;=$C46)))</f>
        <v>713.03945999999996</v>
      </c>
    </row>
    <row r="47" spans="1:21" x14ac:dyDescent="0.25">
      <c r="A47" t="str">
        <f>dados!A47</f>
        <v>20208</v>
      </c>
      <c r="B47">
        <f>dados!B47</f>
        <v>2020</v>
      </c>
      <c r="C47">
        <f>dados!C47</f>
        <v>8</v>
      </c>
      <c r="D47" s="14">
        <f>dados!D47</f>
        <v>44044</v>
      </c>
      <c r="E47" s="48">
        <f>ABS(SUMPRODUCT(dados!E:E,-(dados!$B:$B=$B47),-(dados!$C:$C&lt;=$C47)))</f>
        <v>738.27670999999987</v>
      </c>
      <c r="F47" s="48">
        <f>ABS(SUMPRODUCT(dados!F:F,-(dados!$B:$B=$B47),-(dados!$C:$C&lt;=$C47)))</f>
        <v>730.27206000000001</v>
      </c>
      <c r="G47" s="48">
        <f>ABS(SUMPRODUCT(dados!G:G,-(dados!$B:$B=$B47),-(dados!$C:$C&lt;=$C47)))</f>
        <v>794.56524000000013</v>
      </c>
      <c r="H47" s="48">
        <f>ABS(SUMPRODUCT(dados!H:H,-(dados!$B:$B=$B47),-(dados!$C:$C&lt;=$C47)))</f>
        <v>691.34937000000002</v>
      </c>
      <c r="I47" s="48">
        <f>ABS(SUMPRODUCT(dados!I:I,-(dados!$B:$B=$B47),-(dados!$C:$C&lt;=$C47)))</f>
        <v>745.88955999999996</v>
      </c>
      <c r="J47" s="48">
        <f>ABS(SUMPRODUCT(dados!J:J,-(dados!$B:$B=$B47),-(dados!$C:$C&lt;=$C47)))</f>
        <v>854.98662999999999</v>
      </c>
      <c r="K47" s="48">
        <f>ABS(SUMPRODUCT(dados!K:K,-(dados!$B:$B=$B47),-(dados!$C:$C&lt;=$C47)))</f>
        <v>0</v>
      </c>
      <c r="L47" s="48">
        <f>ABS(SUMPRODUCT(dados!L:L,-(dados!$B:$B=$B47),-(dados!$C:$C&lt;=$C47)))</f>
        <v>734.76607999999987</v>
      </c>
      <c r="M47" s="48">
        <f>ABS(SUMPRODUCT(dados!M:M,-(dados!$B:$B=$B47),-(dados!$C:$C&lt;=$C47)))</f>
        <v>704.47027000000003</v>
      </c>
      <c r="N47" s="48">
        <f>ABS(SUMPRODUCT(dados!N:N,-(dados!$B:$B=$B47),-(dados!$C:$C&lt;=$C47)))</f>
        <v>549.56948</v>
      </c>
      <c r="O47" s="48">
        <f>ABS(SUMPRODUCT(dados!O:O,-(dados!$B:$B=$B47),-(dados!$C:$C&lt;=$C47)))</f>
        <v>678.6185999999999</v>
      </c>
      <c r="P47" s="48">
        <f>ABS(SUMPRODUCT(dados!P:P,-(dados!$B:$B=$B47),-(dados!$C:$C&lt;=$C47)))</f>
        <v>580.49594000000002</v>
      </c>
      <c r="Q47" s="48">
        <f>ABS(SUMPRODUCT(dados!Q:Q,-(dados!$B:$B=$B47),-(dados!$C:$C&lt;=$C47)))</f>
        <v>770.42951000000005</v>
      </c>
      <c r="R47" s="48">
        <f>ABS(SUMPRODUCT(dados!R:R,-(dados!$B:$B=$B47),-(dados!$C:$C&lt;=$C47)))</f>
        <v>523.83875999999998</v>
      </c>
      <c r="S47" s="48">
        <f>ABS(SUMPRODUCT(dados!S:S,-(dados!$B:$B=$B47),-(dados!$C:$C&lt;=$C47)))</f>
        <v>498.72336999999999</v>
      </c>
      <c r="T47" s="48">
        <f>ABS(SUMPRODUCT(dados!T:T,-(dados!$B:$B=$B47),-(dados!$C:$C&lt;=$C47)))</f>
        <v>276.43851999999998</v>
      </c>
      <c r="U47" s="48">
        <f>ABS(SUMPRODUCT(dados!U:U,-(dados!$B:$B=$B47),-(dados!$C:$C&lt;=$C47)))</f>
        <v>807.21487999999999</v>
      </c>
    </row>
    <row r="48" spans="1:21" x14ac:dyDescent="0.25">
      <c r="A48" t="str">
        <f>dados!A48</f>
        <v>20209</v>
      </c>
      <c r="B48">
        <f>dados!B48</f>
        <v>2020</v>
      </c>
      <c r="C48">
        <f>dados!C48</f>
        <v>9</v>
      </c>
      <c r="D48" s="14">
        <f>dados!D48</f>
        <v>44075</v>
      </c>
      <c r="E48" s="48">
        <f>ABS(SUMPRODUCT(dados!E:E,-(dados!$B:$B=$B48),-(dados!$C:$C&lt;=$C48)))</f>
        <v>831.31833999999981</v>
      </c>
      <c r="F48" s="48">
        <f>ABS(SUMPRODUCT(dados!F:F,-(dados!$B:$B=$B48),-(dados!$C:$C&lt;=$C48)))</f>
        <v>824.91385000000002</v>
      </c>
      <c r="G48" s="48">
        <f>ABS(SUMPRODUCT(dados!G:G,-(dados!$B:$B=$B48),-(dados!$C:$C&lt;=$C48)))</f>
        <v>895.08451000000014</v>
      </c>
      <c r="H48" s="48">
        <f>ABS(SUMPRODUCT(dados!H:H,-(dados!$B:$B=$B48),-(dados!$C:$C&lt;=$C48)))</f>
        <v>782.43297000000007</v>
      </c>
      <c r="I48" s="48">
        <f>ABS(SUMPRODUCT(dados!I:I,-(dados!$B:$B=$B48),-(dados!$C:$C&lt;=$C48)))</f>
        <v>851.27658999999994</v>
      </c>
      <c r="J48" s="48">
        <f>ABS(SUMPRODUCT(dados!J:J,-(dados!$B:$B=$B48),-(dados!$C:$C&lt;=$C48)))</f>
        <v>961.37261000000001</v>
      </c>
      <c r="K48" s="48">
        <f>ABS(SUMPRODUCT(dados!K:K,-(dados!$B:$B=$B48),-(dados!$C:$C&lt;=$C48)))</f>
        <v>0</v>
      </c>
      <c r="L48" s="48">
        <f>ABS(SUMPRODUCT(dados!L:L,-(dados!$B:$B=$B48),-(dados!$C:$C&lt;=$C48)))</f>
        <v>823.72510999999986</v>
      </c>
      <c r="M48" s="48">
        <f>ABS(SUMPRODUCT(dados!M:M,-(dados!$B:$B=$B48),-(dados!$C:$C&lt;=$C48)))</f>
        <v>801.30944</v>
      </c>
      <c r="N48" s="48">
        <f>ABS(SUMPRODUCT(dados!N:N,-(dados!$B:$B=$B48),-(dados!$C:$C&lt;=$C48)))</f>
        <v>609.38363000000004</v>
      </c>
      <c r="O48" s="48">
        <f>ABS(SUMPRODUCT(dados!O:O,-(dados!$B:$B=$B48),-(dados!$C:$C&lt;=$C48)))</f>
        <v>794.01273999999989</v>
      </c>
      <c r="P48" s="48">
        <f>ABS(SUMPRODUCT(dados!P:P,-(dados!$B:$B=$B48),-(dados!$C:$C&lt;=$C48)))</f>
        <v>667.58252000000005</v>
      </c>
      <c r="Q48" s="48">
        <f>ABS(SUMPRODUCT(dados!Q:Q,-(dados!$B:$B=$B48),-(dados!$C:$C&lt;=$C48)))</f>
        <v>872.11416000000008</v>
      </c>
      <c r="R48" s="48">
        <f>ABS(SUMPRODUCT(dados!R:R,-(dados!$B:$B=$B48),-(dados!$C:$C&lt;=$C48)))</f>
        <v>601.01617999999996</v>
      </c>
      <c r="S48" s="48">
        <f>ABS(SUMPRODUCT(dados!S:S,-(dados!$B:$B=$B48),-(dados!$C:$C&lt;=$C48)))</f>
        <v>588.39354000000003</v>
      </c>
      <c r="T48" s="48">
        <f>ABS(SUMPRODUCT(dados!T:T,-(dados!$B:$B=$B48),-(dados!$C:$C&lt;=$C48)))</f>
        <v>311.95930999999996</v>
      </c>
      <c r="U48" s="48">
        <f>ABS(SUMPRODUCT(dados!U:U,-(dados!$B:$B=$B48),-(dados!$C:$C&lt;=$C48)))</f>
        <v>904.12631999999996</v>
      </c>
    </row>
    <row r="49" spans="1:21" x14ac:dyDescent="0.25">
      <c r="A49" t="str">
        <f>dados!A49</f>
        <v>202010</v>
      </c>
      <c r="B49">
        <f>dados!B49</f>
        <v>2020</v>
      </c>
      <c r="C49">
        <f>dados!C49</f>
        <v>10</v>
      </c>
      <c r="D49" s="14">
        <f>dados!D49</f>
        <v>44105</v>
      </c>
      <c r="E49" s="48">
        <f>ABS(SUMPRODUCT(dados!E:E,-(dados!$B:$B=$B49),-(dados!$C:$C&lt;=$C49)))</f>
        <v>920.95712999999978</v>
      </c>
      <c r="F49" s="48">
        <f>ABS(SUMPRODUCT(dados!F:F,-(dados!$B:$B=$B49),-(dados!$C:$C&lt;=$C49)))</f>
        <v>920.09249</v>
      </c>
      <c r="G49" s="48">
        <f>ABS(SUMPRODUCT(dados!G:G,-(dados!$B:$B=$B49),-(dados!$C:$C&lt;=$C49)))</f>
        <v>996.4056700000001</v>
      </c>
      <c r="H49" s="48">
        <f>ABS(SUMPRODUCT(dados!H:H,-(dados!$B:$B=$B49),-(dados!$C:$C&lt;=$C49)))</f>
        <v>873.89295000000004</v>
      </c>
      <c r="I49" s="48">
        <f>ABS(SUMPRODUCT(dados!I:I,-(dados!$B:$B=$B49),-(dados!$C:$C&lt;=$C49)))</f>
        <v>970.89878999999996</v>
      </c>
      <c r="J49" s="48">
        <f>ABS(SUMPRODUCT(dados!J:J,-(dados!$B:$B=$B49),-(dados!$C:$C&lt;=$C49)))</f>
        <v>1080.8247699999999</v>
      </c>
      <c r="K49" s="48">
        <f>ABS(SUMPRODUCT(dados!K:K,-(dados!$B:$B=$B49),-(dados!$C:$C&lt;=$C49)))</f>
        <v>0</v>
      </c>
      <c r="L49" s="48">
        <f>ABS(SUMPRODUCT(dados!L:L,-(dados!$B:$B=$B49),-(dados!$C:$C&lt;=$C49)))</f>
        <v>902.02617999999984</v>
      </c>
      <c r="M49" s="48">
        <f>ABS(SUMPRODUCT(dados!M:M,-(dados!$B:$B=$B49),-(dados!$C:$C&lt;=$C49)))</f>
        <v>911.95178999999996</v>
      </c>
      <c r="N49" s="48">
        <f>ABS(SUMPRODUCT(dados!N:N,-(dados!$B:$B=$B49),-(dados!$C:$C&lt;=$C49)))</f>
        <v>679.95460000000003</v>
      </c>
      <c r="O49" s="48">
        <f>ABS(SUMPRODUCT(dados!O:O,-(dados!$B:$B=$B49),-(dados!$C:$C&lt;=$C49)))</f>
        <v>911.78760999999986</v>
      </c>
      <c r="P49" s="48">
        <f>ABS(SUMPRODUCT(dados!P:P,-(dados!$B:$B=$B49),-(dados!$C:$C&lt;=$C49)))</f>
        <v>762.35986000000003</v>
      </c>
      <c r="Q49" s="48">
        <f>ABS(SUMPRODUCT(dados!Q:Q,-(dados!$B:$B=$B49),-(dados!$C:$C&lt;=$C49)))</f>
        <v>976.78365000000008</v>
      </c>
      <c r="R49" s="48">
        <f>ABS(SUMPRODUCT(dados!R:R,-(dados!$B:$B=$B49),-(dados!$C:$C&lt;=$C49)))</f>
        <v>696.42094999999995</v>
      </c>
      <c r="S49" s="48">
        <f>ABS(SUMPRODUCT(dados!S:S,-(dados!$B:$B=$B49),-(dados!$C:$C&lt;=$C49)))</f>
        <v>681.99067000000002</v>
      </c>
      <c r="T49" s="48">
        <f>ABS(SUMPRODUCT(dados!T:T,-(dados!$B:$B=$B49),-(dados!$C:$C&lt;=$C49)))</f>
        <v>346.51681999999994</v>
      </c>
      <c r="U49" s="48">
        <f>ABS(SUMPRODUCT(dados!U:U,-(dados!$B:$B=$B49),-(dados!$C:$C&lt;=$C49)))</f>
        <v>1000.30909</v>
      </c>
    </row>
    <row r="50" spans="1:21" x14ac:dyDescent="0.25">
      <c r="A50" t="str">
        <f>dados!A50</f>
        <v>202011</v>
      </c>
      <c r="B50">
        <f>dados!B50</f>
        <v>2020</v>
      </c>
      <c r="C50">
        <f>dados!C50</f>
        <v>11</v>
      </c>
      <c r="D50" s="14">
        <f>dados!D50</f>
        <v>44136</v>
      </c>
      <c r="E50" s="48">
        <f>ABS(SUMPRODUCT(dados!E:E,-(dados!$B:$B=$B50),-(dados!$C:$C&lt;=$C50)))</f>
        <v>1011.5510999999998</v>
      </c>
      <c r="F50" s="48">
        <f>ABS(SUMPRODUCT(dados!F:F,-(dados!$B:$B=$B50),-(dados!$C:$C&lt;=$C50)))</f>
        <v>1011.77474</v>
      </c>
      <c r="G50" s="48">
        <f>ABS(SUMPRODUCT(dados!G:G,-(dados!$B:$B=$B50),-(dados!$C:$C&lt;=$C50)))</f>
        <v>1083.78332</v>
      </c>
      <c r="H50" s="48">
        <f>ABS(SUMPRODUCT(dados!H:H,-(dados!$B:$B=$B50),-(dados!$C:$C&lt;=$C50)))</f>
        <v>968.18118000000004</v>
      </c>
      <c r="I50" s="48">
        <f>ABS(SUMPRODUCT(dados!I:I,-(dados!$B:$B=$B50),-(dados!$C:$C&lt;=$C50)))</f>
        <v>1089.37411</v>
      </c>
      <c r="J50" s="48">
        <f>ABS(SUMPRODUCT(dados!J:J,-(dados!$B:$B=$B50),-(dados!$C:$C&lt;=$C50)))</f>
        <v>1199.77664</v>
      </c>
      <c r="K50" s="48">
        <f>ABS(SUMPRODUCT(dados!K:K,-(dados!$B:$B=$B50),-(dados!$C:$C&lt;=$C50)))</f>
        <v>0</v>
      </c>
      <c r="L50" s="48">
        <f>ABS(SUMPRODUCT(dados!L:L,-(dados!$B:$B=$B50),-(dados!$C:$C&lt;=$C50)))</f>
        <v>995.07726999999988</v>
      </c>
      <c r="M50" s="48">
        <f>ABS(SUMPRODUCT(dados!M:M,-(dados!$B:$B=$B50),-(dados!$C:$C&lt;=$C50)))</f>
        <v>1013.7927599999999</v>
      </c>
      <c r="N50" s="48">
        <f>ABS(SUMPRODUCT(dados!N:N,-(dados!$B:$B=$B50),-(dados!$C:$C&lt;=$C50)))</f>
        <v>753.46112000000005</v>
      </c>
      <c r="O50" s="48">
        <f>ABS(SUMPRODUCT(dados!O:O,-(dados!$B:$B=$B50),-(dados!$C:$C&lt;=$C50)))</f>
        <v>1018.8297799999998</v>
      </c>
      <c r="P50" s="48">
        <f>ABS(SUMPRODUCT(dados!P:P,-(dados!$B:$B=$B50),-(dados!$C:$C&lt;=$C50)))</f>
        <v>851.00617</v>
      </c>
      <c r="Q50" s="48">
        <f>ABS(SUMPRODUCT(dados!Q:Q,-(dados!$B:$B=$B50),-(dados!$C:$C&lt;=$C50)))</f>
        <v>1073.24395</v>
      </c>
      <c r="R50" s="48">
        <f>ABS(SUMPRODUCT(dados!R:R,-(dados!$B:$B=$B50),-(dados!$C:$C&lt;=$C50)))</f>
        <v>787.09712999999999</v>
      </c>
      <c r="S50" s="48">
        <f>ABS(SUMPRODUCT(dados!S:S,-(dados!$B:$B=$B50),-(dados!$C:$C&lt;=$C50)))</f>
        <v>770.62034000000006</v>
      </c>
      <c r="T50" s="48">
        <f>ABS(SUMPRODUCT(dados!T:T,-(dados!$B:$B=$B50),-(dados!$C:$C&lt;=$C50)))</f>
        <v>377.64657999999991</v>
      </c>
      <c r="U50" s="48">
        <f>ABS(SUMPRODUCT(dados!U:U,-(dados!$B:$B=$B50),-(dados!$C:$C&lt;=$C50)))</f>
        <v>1090.5928099999999</v>
      </c>
    </row>
    <row r="51" spans="1:21" x14ac:dyDescent="0.25">
      <c r="A51" t="str">
        <f>dados!A51</f>
        <v>202012</v>
      </c>
      <c r="B51">
        <f>dados!B51</f>
        <v>2020</v>
      </c>
      <c r="C51">
        <f>dados!C51</f>
        <v>12</v>
      </c>
      <c r="D51" s="14">
        <f>dados!D51</f>
        <v>44166</v>
      </c>
      <c r="E51" s="48">
        <f>ABS(SUMPRODUCT(dados!E:E,-(dados!$B:$B=$B51),-(dados!$C:$C&lt;=$C51)))</f>
        <v>1102.6912599999998</v>
      </c>
      <c r="F51" s="48">
        <f>ABS(SUMPRODUCT(dados!F:F,-(dados!$B:$B=$B51),-(dados!$C:$C&lt;=$C51)))</f>
        <v>1102.91173</v>
      </c>
      <c r="G51" s="48">
        <f>ABS(SUMPRODUCT(dados!G:G,-(dados!$B:$B=$B51),-(dados!$C:$C&lt;=$C51)))</f>
        <v>1175.4695099999999</v>
      </c>
      <c r="H51" s="48">
        <f>ABS(SUMPRODUCT(dados!H:H,-(dados!$B:$B=$B51),-(dados!$C:$C&lt;=$C51)))</f>
        <v>1058.9857</v>
      </c>
      <c r="I51" s="48">
        <f>ABS(SUMPRODUCT(dados!I:I,-(dados!$B:$B=$B51),-(dados!$C:$C&lt;=$C51)))</f>
        <v>1174.6965499999999</v>
      </c>
      <c r="J51" s="48">
        <f>ABS(SUMPRODUCT(dados!J:J,-(dados!$B:$B=$B51),-(dados!$C:$C&lt;=$C51)))</f>
        <v>1325.3659600000001</v>
      </c>
      <c r="K51" s="48">
        <f>ABS(SUMPRODUCT(dados!K:K,-(dados!$B:$B=$B51),-(dados!$C:$C&lt;=$C51)))</f>
        <v>0</v>
      </c>
      <c r="L51" s="48">
        <f>ABS(SUMPRODUCT(dados!L:L,-(dados!$B:$B=$B51),-(dados!$C:$C&lt;=$C51)))</f>
        <v>1090.0898099999999</v>
      </c>
      <c r="M51" s="48">
        <f>ABS(SUMPRODUCT(dados!M:M,-(dados!$B:$B=$B51),-(dados!$C:$C&lt;=$C51)))</f>
        <v>1086.1883799999998</v>
      </c>
      <c r="N51" s="48">
        <f>ABS(SUMPRODUCT(dados!N:N,-(dados!$B:$B=$B51),-(dados!$C:$C&lt;=$C51)))</f>
        <v>810.59256000000005</v>
      </c>
      <c r="O51" s="48">
        <f>ABS(SUMPRODUCT(dados!O:O,-(dados!$B:$B=$B51),-(dados!$C:$C&lt;=$C51)))</f>
        <v>1117.8981999999999</v>
      </c>
      <c r="P51" s="48">
        <f>ABS(SUMPRODUCT(dados!P:P,-(dados!$B:$B=$B51),-(dados!$C:$C&lt;=$C51)))</f>
        <v>927.14418000000001</v>
      </c>
      <c r="Q51" s="48">
        <f>ABS(SUMPRODUCT(dados!Q:Q,-(dados!$B:$B=$B51),-(dados!$C:$C&lt;=$C51)))</f>
        <v>1184.08745</v>
      </c>
      <c r="R51" s="48">
        <f>ABS(SUMPRODUCT(dados!R:R,-(dados!$B:$B=$B51),-(dados!$C:$C&lt;=$C51)))</f>
        <v>876.81888000000004</v>
      </c>
      <c r="S51" s="48">
        <f>ABS(SUMPRODUCT(dados!S:S,-(dados!$B:$B=$B51),-(dados!$C:$C&lt;=$C51)))</f>
        <v>845.65319</v>
      </c>
      <c r="T51" s="48">
        <f>ABS(SUMPRODUCT(dados!T:T,-(dados!$B:$B=$B51),-(dados!$C:$C&lt;=$C51)))</f>
        <v>404.26379999999989</v>
      </c>
      <c r="U51" s="48">
        <f>ABS(SUMPRODUCT(dados!U:U,-(dados!$B:$B=$B51),-(dados!$C:$C&lt;=$C51)))</f>
        <v>1181.4217899999999</v>
      </c>
    </row>
    <row r="52" spans="1:21" x14ac:dyDescent="0.25">
      <c r="A52" t="str">
        <f>dados!A52</f>
        <v>20211</v>
      </c>
      <c r="B52">
        <f>dados!B52</f>
        <v>2021</v>
      </c>
      <c r="C52">
        <f>dados!C52</f>
        <v>1</v>
      </c>
      <c r="D52" s="14">
        <f>dados!D52</f>
        <v>44197</v>
      </c>
      <c r="E52" s="48">
        <f>ABS(SUMPRODUCT(dados!E:E,-(dados!$B:$B=$B52),-(dados!$C:$C&lt;=$C52)))</f>
        <v>93.054580000000001</v>
      </c>
      <c r="F52" s="48">
        <f>ABS(SUMPRODUCT(dados!F:F,-(dados!$B:$B=$B52),-(dados!$C:$C&lt;=$C52)))</f>
        <v>94.081829999999997</v>
      </c>
      <c r="G52" s="48">
        <f>ABS(SUMPRODUCT(dados!G:G,-(dados!$B:$B=$B52),-(dados!$C:$C&lt;=$C52)))</f>
        <v>97.343980000000002</v>
      </c>
      <c r="H52" s="48">
        <f>ABS(SUMPRODUCT(dados!H:H,-(dados!$B:$B=$B52),-(dados!$C:$C&lt;=$C52)))</f>
        <v>92.106939999999994</v>
      </c>
      <c r="I52" s="48">
        <f>ABS(SUMPRODUCT(dados!I:I,-(dados!$B:$B=$B52),-(dados!$C:$C&lt;=$C52)))</f>
        <v>101.11375</v>
      </c>
      <c r="J52" s="48">
        <f>ABS(SUMPRODUCT(dados!J:J,-(dados!$B:$B=$B52),-(dados!$C:$C&lt;=$C52)))</f>
        <v>109.17161</v>
      </c>
      <c r="K52" s="48">
        <f>ABS(SUMPRODUCT(dados!K:K,-(dados!$B:$B=$B52),-(dados!$C:$C&lt;=$C52)))</f>
        <v>0</v>
      </c>
      <c r="L52" s="48">
        <f>ABS(SUMPRODUCT(dados!L:L,-(dados!$B:$B=$B52),-(dados!$C:$C&lt;=$C52)))</f>
        <v>91.22466</v>
      </c>
      <c r="M52" s="48">
        <f>ABS(SUMPRODUCT(dados!M:M,-(dados!$B:$B=$B52),-(dados!$C:$C&lt;=$C52)))</f>
        <v>83.527140000000003</v>
      </c>
      <c r="N52" s="48">
        <f>ABS(SUMPRODUCT(dados!N:N,-(dados!$B:$B=$B52),-(dados!$C:$C&lt;=$C52)))</f>
        <v>71.812269999999998</v>
      </c>
      <c r="O52" s="48">
        <f>ABS(SUMPRODUCT(dados!O:O,-(dados!$B:$B=$B52),-(dados!$C:$C&lt;=$C52)))</f>
        <v>108.88976</v>
      </c>
      <c r="P52" s="48">
        <f>ABS(SUMPRODUCT(dados!P:P,-(dados!$B:$B=$B52),-(dados!$C:$C&lt;=$C52)))</f>
        <v>90.212090000000003</v>
      </c>
      <c r="Q52" s="48">
        <f>ABS(SUMPRODUCT(dados!Q:Q,-(dados!$B:$B=$B52),-(dados!$C:$C&lt;=$C52)))</f>
        <v>104.7953</v>
      </c>
      <c r="R52" s="48">
        <f>ABS(SUMPRODUCT(dados!R:R,-(dados!$B:$B=$B52),-(dados!$C:$C&lt;=$C52)))</f>
        <v>87.262420000000006</v>
      </c>
      <c r="S52" s="48">
        <f>ABS(SUMPRODUCT(dados!S:S,-(dados!$B:$B=$B52),-(dados!$C:$C&lt;=$C52)))</f>
        <v>87.313149999999993</v>
      </c>
      <c r="T52" s="48">
        <f>ABS(SUMPRODUCT(dados!T:T,-(dados!$B:$B=$B52),-(dados!$C:$C&lt;=$C52)))</f>
        <v>26.733499999999999</v>
      </c>
      <c r="U52" s="48">
        <f>ABS(SUMPRODUCT(dados!U:U,-(dados!$B:$B=$B52),-(dados!$C:$C&lt;=$C52)))</f>
        <v>90.714290000000005</v>
      </c>
    </row>
    <row r="53" spans="1:21" x14ac:dyDescent="0.25">
      <c r="A53" t="str">
        <f>dados!A53</f>
        <v>20212</v>
      </c>
      <c r="B53">
        <f>dados!B53</f>
        <v>2021</v>
      </c>
      <c r="C53">
        <f>dados!C53</f>
        <v>2</v>
      </c>
      <c r="D53" s="14">
        <f>dados!D53</f>
        <v>44228</v>
      </c>
      <c r="E53" s="48">
        <f>ABS(SUMPRODUCT(dados!E:E,-(dados!$B:$B=$B53),-(dados!$C:$C&lt;=$C53)))</f>
        <v>188.13271</v>
      </c>
      <c r="F53" s="48">
        <f>ABS(SUMPRODUCT(dados!F:F,-(dados!$B:$B=$B53),-(dados!$C:$C&lt;=$C53)))</f>
        <v>181.23392999999999</v>
      </c>
      <c r="G53" s="48">
        <f>ABS(SUMPRODUCT(dados!G:G,-(dados!$B:$B=$B53),-(dados!$C:$C&lt;=$C53)))</f>
        <v>183.81736999999998</v>
      </c>
      <c r="H53" s="48">
        <f>ABS(SUMPRODUCT(dados!H:H,-(dados!$B:$B=$B53),-(dados!$C:$C&lt;=$C53)))</f>
        <v>179.66992999999999</v>
      </c>
      <c r="I53" s="48">
        <f>ABS(SUMPRODUCT(dados!I:I,-(dados!$B:$B=$B53),-(dados!$C:$C&lt;=$C53)))</f>
        <v>185.57575</v>
      </c>
      <c r="J53" s="48">
        <f>ABS(SUMPRODUCT(dados!J:J,-(dados!$B:$B=$B53),-(dados!$C:$C&lt;=$C53)))</f>
        <v>208.46770000000001</v>
      </c>
      <c r="K53" s="48">
        <f>ABS(SUMPRODUCT(dados!K:K,-(dados!$B:$B=$B53),-(dados!$C:$C&lt;=$C53)))</f>
        <v>0</v>
      </c>
      <c r="L53" s="48">
        <f>ABS(SUMPRODUCT(dados!L:L,-(dados!$B:$B=$B53),-(dados!$C:$C&lt;=$C53)))</f>
        <v>173.89830999999998</v>
      </c>
      <c r="M53" s="48">
        <f>ABS(SUMPRODUCT(dados!M:M,-(dados!$B:$B=$B53),-(dados!$C:$C&lt;=$C53)))</f>
        <v>168.17554000000001</v>
      </c>
      <c r="N53" s="48">
        <f>ABS(SUMPRODUCT(dados!N:N,-(dados!$B:$B=$B53),-(dados!$C:$C&lt;=$C53)))</f>
        <v>140.01566</v>
      </c>
      <c r="O53" s="48">
        <f>ABS(SUMPRODUCT(dados!O:O,-(dados!$B:$B=$B53),-(dados!$C:$C&lt;=$C53)))</f>
        <v>205.13686999999999</v>
      </c>
      <c r="P53" s="48">
        <f>ABS(SUMPRODUCT(dados!P:P,-(dados!$B:$B=$B53),-(dados!$C:$C&lt;=$C53)))</f>
        <v>175.26242000000002</v>
      </c>
      <c r="Q53" s="48">
        <f>ABS(SUMPRODUCT(dados!Q:Q,-(dados!$B:$B=$B53),-(dados!$C:$C&lt;=$C53)))</f>
        <v>214.69873000000001</v>
      </c>
      <c r="R53" s="48">
        <f>ABS(SUMPRODUCT(dados!R:R,-(dados!$B:$B=$B53),-(dados!$C:$C&lt;=$C53)))</f>
        <v>170.28653</v>
      </c>
      <c r="S53" s="48">
        <f>ABS(SUMPRODUCT(dados!S:S,-(dados!$B:$B=$B53),-(dados!$C:$C&lt;=$C53)))</f>
        <v>179.42591999999999</v>
      </c>
      <c r="T53" s="48">
        <f>ABS(SUMPRODUCT(dados!T:T,-(dados!$B:$B=$B53),-(dados!$C:$C&lt;=$C53)))</f>
        <v>52.869500000000002</v>
      </c>
      <c r="U53" s="48">
        <f>ABS(SUMPRODUCT(dados!U:U,-(dados!$B:$B=$B53),-(dados!$C:$C&lt;=$C53)))</f>
        <v>181.20766</v>
      </c>
    </row>
    <row r="54" spans="1:21" x14ac:dyDescent="0.25">
      <c r="A54" t="str">
        <f>dados!A54</f>
        <v>20213</v>
      </c>
      <c r="B54">
        <f>dados!B54</f>
        <v>2021</v>
      </c>
      <c r="C54">
        <f>dados!C54</f>
        <v>3</v>
      </c>
      <c r="D54" s="14">
        <f>dados!D54</f>
        <v>44256</v>
      </c>
      <c r="E54" s="48">
        <f>ABS(SUMPRODUCT(dados!E:E,-(dados!$B:$B=$B54),-(dados!$C:$C&lt;=$C54)))</f>
        <v>280.14157999999998</v>
      </c>
      <c r="F54" s="48">
        <f>ABS(SUMPRODUCT(dados!F:F,-(dados!$B:$B=$B54),-(dados!$C:$C&lt;=$C54)))</f>
        <v>271.63158999999996</v>
      </c>
      <c r="G54" s="48">
        <f>ABS(SUMPRODUCT(dados!G:G,-(dados!$B:$B=$B54),-(dados!$C:$C&lt;=$C54)))</f>
        <v>279.23439999999999</v>
      </c>
      <c r="H54" s="48">
        <f>ABS(SUMPRODUCT(dados!H:H,-(dados!$B:$B=$B54),-(dados!$C:$C&lt;=$C54)))</f>
        <v>267.02888999999999</v>
      </c>
      <c r="I54" s="48">
        <f>ABS(SUMPRODUCT(dados!I:I,-(dados!$B:$B=$B54),-(dados!$C:$C&lt;=$C54)))</f>
        <v>278.55970000000002</v>
      </c>
      <c r="J54" s="48">
        <f>ABS(SUMPRODUCT(dados!J:J,-(dados!$B:$B=$B54),-(dados!$C:$C&lt;=$C54)))</f>
        <v>292.12173999999999</v>
      </c>
      <c r="K54" s="48">
        <f>ABS(SUMPRODUCT(dados!K:K,-(dados!$B:$B=$B54),-(dados!$C:$C&lt;=$C54)))</f>
        <v>0</v>
      </c>
      <c r="L54" s="48">
        <f>ABS(SUMPRODUCT(dados!L:L,-(dados!$B:$B=$B54),-(dados!$C:$C&lt;=$C54)))</f>
        <v>245.05695999999998</v>
      </c>
      <c r="M54" s="48">
        <f>ABS(SUMPRODUCT(dados!M:M,-(dados!$B:$B=$B54),-(dados!$C:$C&lt;=$C54)))</f>
        <v>257.18189000000001</v>
      </c>
      <c r="N54" s="48">
        <f>ABS(SUMPRODUCT(dados!N:N,-(dados!$B:$B=$B54),-(dados!$C:$C&lt;=$C54)))</f>
        <v>221.17975999999999</v>
      </c>
      <c r="O54" s="48">
        <f>ABS(SUMPRODUCT(dados!O:O,-(dados!$B:$B=$B54),-(dados!$C:$C&lt;=$C54)))</f>
        <v>316.17628999999999</v>
      </c>
      <c r="P54" s="48">
        <f>ABS(SUMPRODUCT(dados!P:P,-(dados!$B:$B=$B54),-(dados!$C:$C&lt;=$C54)))</f>
        <v>267.32298000000003</v>
      </c>
      <c r="Q54" s="48">
        <f>ABS(SUMPRODUCT(dados!Q:Q,-(dados!$B:$B=$B54),-(dados!$C:$C&lt;=$C54)))</f>
        <v>337.32979999999998</v>
      </c>
      <c r="R54" s="48">
        <f>ABS(SUMPRODUCT(dados!R:R,-(dados!$B:$B=$B54),-(dados!$C:$C&lt;=$C54)))</f>
        <v>265.18435999999997</v>
      </c>
      <c r="S54" s="48">
        <f>ABS(SUMPRODUCT(dados!S:S,-(dados!$B:$B=$B54),-(dados!$C:$C&lt;=$C54)))</f>
        <v>272.97194000000002</v>
      </c>
      <c r="T54" s="48">
        <f>ABS(SUMPRODUCT(dados!T:T,-(dados!$B:$B=$B54),-(dados!$C:$C&lt;=$C54)))</f>
        <v>93.507859999999994</v>
      </c>
      <c r="U54" s="48">
        <f>ABS(SUMPRODUCT(dados!U:U,-(dados!$B:$B=$B54),-(dados!$C:$C&lt;=$C54)))</f>
        <v>283.54205000000002</v>
      </c>
    </row>
    <row r="55" spans="1:21" x14ac:dyDescent="0.25">
      <c r="A55" t="str">
        <f>dados!A55</f>
        <v>20214</v>
      </c>
      <c r="B55">
        <f>dados!B55</f>
        <v>2021</v>
      </c>
      <c r="C55">
        <f>dados!C55</f>
        <v>4</v>
      </c>
      <c r="D55" s="14">
        <f>dados!D55</f>
        <v>44287</v>
      </c>
      <c r="E55" s="48">
        <f>ABS(SUMPRODUCT(dados!E:E,-(dados!$B:$B=$B55),-(dados!$C:$C&lt;=$C55)))</f>
        <v>372.83241999999996</v>
      </c>
      <c r="F55" s="48">
        <f>ABS(SUMPRODUCT(dados!F:F,-(dados!$B:$B=$B55),-(dados!$C:$C&lt;=$C55)))</f>
        <v>359.27754999999996</v>
      </c>
      <c r="G55" s="48">
        <f>ABS(SUMPRODUCT(dados!G:G,-(dados!$B:$B=$B55),-(dados!$C:$C&lt;=$C55)))</f>
        <v>375.68380000000002</v>
      </c>
      <c r="H55" s="48">
        <f>ABS(SUMPRODUCT(dados!H:H,-(dados!$B:$B=$B55),-(dados!$C:$C&lt;=$C55)))</f>
        <v>349.34530000000001</v>
      </c>
      <c r="I55" s="48">
        <f>ABS(SUMPRODUCT(dados!I:I,-(dados!$B:$B=$B55),-(dados!$C:$C&lt;=$C55)))</f>
        <v>363.68995000000001</v>
      </c>
      <c r="J55" s="48">
        <f>ABS(SUMPRODUCT(dados!J:J,-(dados!$B:$B=$B55),-(dados!$C:$C&lt;=$C55)))</f>
        <v>399.99311999999998</v>
      </c>
      <c r="K55" s="48">
        <f>ABS(SUMPRODUCT(dados!K:K,-(dados!$B:$B=$B55),-(dados!$C:$C&lt;=$C55)))</f>
        <v>0</v>
      </c>
      <c r="L55" s="48">
        <f>ABS(SUMPRODUCT(dados!L:L,-(dados!$B:$B=$B55),-(dados!$C:$C&lt;=$C55)))</f>
        <v>308.20474999999999</v>
      </c>
      <c r="M55" s="48">
        <f>ABS(SUMPRODUCT(dados!M:M,-(dados!$B:$B=$B55),-(dados!$C:$C&lt;=$C55)))</f>
        <v>344.24378000000002</v>
      </c>
      <c r="N55" s="48">
        <f>ABS(SUMPRODUCT(dados!N:N,-(dados!$B:$B=$B55),-(dados!$C:$C&lt;=$C55)))</f>
        <v>282.90622999999999</v>
      </c>
      <c r="O55" s="48">
        <f>ABS(SUMPRODUCT(dados!O:O,-(dados!$B:$B=$B55),-(dados!$C:$C&lt;=$C55)))</f>
        <v>423.47014999999999</v>
      </c>
      <c r="P55" s="48">
        <f>ABS(SUMPRODUCT(dados!P:P,-(dados!$B:$B=$B55),-(dados!$C:$C&lt;=$C55)))</f>
        <v>351.47398000000004</v>
      </c>
      <c r="Q55" s="48">
        <f>ABS(SUMPRODUCT(dados!Q:Q,-(dados!$B:$B=$B55),-(dados!$C:$C&lt;=$C55)))</f>
        <v>448.37856999999997</v>
      </c>
      <c r="R55" s="48">
        <f>ABS(SUMPRODUCT(dados!R:R,-(dados!$B:$B=$B55),-(dados!$C:$C&lt;=$C55)))</f>
        <v>386.25802999999996</v>
      </c>
      <c r="S55" s="48">
        <f>ABS(SUMPRODUCT(dados!S:S,-(dados!$B:$B=$B55),-(dados!$C:$C&lt;=$C55)))</f>
        <v>363.81994000000003</v>
      </c>
      <c r="T55" s="48">
        <f>ABS(SUMPRODUCT(dados!T:T,-(dados!$B:$B=$B55),-(dados!$C:$C&lt;=$C55)))</f>
        <v>127.08681999999999</v>
      </c>
      <c r="U55" s="48">
        <f>ABS(SUMPRODUCT(dados!U:U,-(dados!$B:$B=$B55),-(dados!$C:$C&lt;=$C55)))</f>
        <v>378.73677000000004</v>
      </c>
    </row>
    <row r="56" spans="1:21" x14ac:dyDescent="0.25">
      <c r="A56" t="str">
        <f>dados!A56</f>
        <v>20215</v>
      </c>
      <c r="B56">
        <f>dados!B56</f>
        <v>2021</v>
      </c>
      <c r="C56">
        <f>dados!C56</f>
        <v>5</v>
      </c>
      <c r="D56" s="14">
        <f>dados!D56</f>
        <v>44317</v>
      </c>
      <c r="E56" s="48">
        <f>ABS(SUMPRODUCT(dados!E:E,-(dados!$B:$B=$B56),-(dados!$C:$C&lt;=$C56)))</f>
        <v>471.48136999999997</v>
      </c>
      <c r="F56" s="48">
        <f>ABS(SUMPRODUCT(dados!F:F,-(dados!$B:$B=$B56),-(dados!$C:$C&lt;=$C56)))</f>
        <v>456.98315999999994</v>
      </c>
      <c r="G56" s="48">
        <f>ABS(SUMPRODUCT(dados!G:G,-(dados!$B:$B=$B56),-(dados!$C:$C&lt;=$C56)))</f>
        <v>474.16879</v>
      </c>
      <c r="H56" s="48">
        <f>ABS(SUMPRODUCT(dados!H:H,-(dados!$B:$B=$B56),-(dados!$C:$C&lt;=$C56)))</f>
        <v>446.57907</v>
      </c>
      <c r="I56" s="48">
        <f>ABS(SUMPRODUCT(dados!I:I,-(dados!$B:$B=$B56),-(dados!$C:$C&lt;=$C56)))</f>
        <v>461.13283000000001</v>
      </c>
      <c r="J56" s="48">
        <f>ABS(SUMPRODUCT(dados!J:J,-(dados!$B:$B=$B56),-(dados!$C:$C&lt;=$C56)))</f>
        <v>507.77431999999999</v>
      </c>
      <c r="K56" s="48">
        <f>ABS(SUMPRODUCT(dados!K:K,-(dados!$B:$B=$B56),-(dados!$C:$C&lt;=$C56)))</f>
        <v>0</v>
      </c>
      <c r="L56" s="48">
        <f>ABS(SUMPRODUCT(dados!L:L,-(dados!$B:$B=$B56),-(dados!$C:$C&lt;=$C56)))</f>
        <v>397.54190999999997</v>
      </c>
      <c r="M56" s="48">
        <f>ABS(SUMPRODUCT(dados!M:M,-(dados!$B:$B=$B56),-(dados!$C:$C&lt;=$C56)))</f>
        <v>431.39553999999998</v>
      </c>
      <c r="N56" s="48">
        <f>ABS(SUMPRODUCT(dados!N:N,-(dados!$B:$B=$B56),-(dados!$C:$C&lt;=$C56)))</f>
        <v>361.85325999999998</v>
      </c>
      <c r="O56" s="48">
        <f>ABS(SUMPRODUCT(dados!O:O,-(dados!$B:$B=$B56),-(dados!$C:$C&lt;=$C56)))</f>
        <v>532.89040999999997</v>
      </c>
      <c r="P56" s="48">
        <f>ABS(SUMPRODUCT(dados!P:P,-(dados!$B:$B=$B56),-(dados!$C:$C&lt;=$C56)))</f>
        <v>445.01545000000004</v>
      </c>
      <c r="Q56" s="48">
        <f>ABS(SUMPRODUCT(dados!Q:Q,-(dados!$B:$B=$B56),-(dados!$C:$C&lt;=$C56)))</f>
        <v>565.55232999999998</v>
      </c>
      <c r="R56" s="48">
        <f>ABS(SUMPRODUCT(dados!R:R,-(dados!$B:$B=$B56),-(dados!$C:$C&lt;=$C56)))</f>
        <v>522.57402999999999</v>
      </c>
      <c r="S56" s="48">
        <f>ABS(SUMPRODUCT(dados!S:S,-(dados!$B:$B=$B56),-(dados!$C:$C&lt;=$C56)))</f>
        <v>465.14039000000002</v>
      </c>
      <c r="T56" s="48">
        <f>ABS(SUMPRODUCT(dados!T:T,-(dados!$B:$B=$B56),-(dados!$C:$C&lt;=$C56)))</f>
        <v>169.42379</v>
      </c>
      <c r="U56" s="48">
        <f>ABS(SUMPRODUCT(dados!U:U,-(dados!$B:$B=$B56),-(dados!$C:$C&lt;=$C56)))</f>
        <v>476.73224000000005</v>
      </c>
    </row>
    <row r="57" spans="1:21" x14ac:dyDescent="0.25">
      <c r="A57" t="str">
        <f>dados!A57</f>
        <v>20216</v>
      </c>
      <c r="B57">
        <f>dados!B57</f>
        <v>2021</v>
      </c>
      <c r="C57">
        <f>dados!C57</f>
        <v>6</v>
      </c>
      <c r="D57" s="14">
        <f>dados!D57</f>
        <v>44348</v>
      </c>
      <c r="E57" s="48">
        <f>ABS(SUMPRODUCT(dados!E:E,-(dados!$B:$B=$B57),-(dados!$C:$C&lt;=$C57)))</f>
        <v>570.35340999999994</v>
      </c>
      <c r="F57" s="48">
        <f>ABS(SUMPRODUCT(dados!F:F,-(dados!$B:$B=$B57),-(dados!$C:$C&lt;=$C57)))</f>
        <v>553.79460999999992</v>
      </c>
      <c r="G57" s="48">
        <f>ABS(SUMPRODUCT(dados!G:G,-(dados!$B:$B=$B57),-(dados!$C:$C&lt;=$C57)))</f>
        <v>570.08456000000001</v>
      </c>
      <c r="H57" s="48">
        <f>ABS(SUMPRODUCT(dados!H:H,-(dados!$B:$B=$B57),-(dados!$C:$C&lt;=$C57)))</f>
        <v>543.93276000000003</v>
      </c>
      <c r="I57" s="48">
        <f>ABS(SUMPRODUCT(dados!I:I,-(dados!$B:$B=$B57),-(dados!$C:$C&lt;=$C57)))</f>
        <v>531.64319999999998</v>
      </c>
      <c r="J57" s="48">
        <f>ABS(SUMPRODUCT(dados!J:J,-(dados!$B:$B=$B57),-(dados!$C:$C&lt;=$C57)))</f>
        <v>610.22050000000002</v>
      </c>
      <c r="K57" s="48">
        <f>ABS(SUMPRODUCT(dados!K:K,-(dados!$B:$B=$B57),-(dados!$C:$C&lt;=$C57)))</f>
        <v>0</v>
      </c>
      <c r="L57" s="48">
        <f>ABS(SUMPRODUCT(dados!L:L,-(dados!$B:$B=$B57),-(dados!$C:$C&lt;=$C57)))</f>
        <v>488.44250999999997</v>
      </c>
      <c r="M57" s="48">
        <f>ABS(SUMPRODUCT(dados!M:M,-(dados!$B:$B=$B57),-(dados!$C:$C&lt;=$C57)))</f>
        <v>529.77061000000003</v>
      </c>
      <c r="N57" s="48">
        <f>ABS(SUMPRODUCT(dados!N:N,-(dados!$B:$B=$B57),-(dados!$C:$C&lt;=$C57)))</f>
        <v>429.85154999999997</v>
      </c>
      <c r="O57" s="48">
        <f>ABS(SUMPRODUCT(dados!O:O,-(dados!$B:$B=$B57),-(dados!$C:$C&lt;=$C57)))</f>
        <v>642.97236999999996</v>
      </c>
      <c r="P57" s="48">
        <f>ABS(SUMPRODUCT(dados!P:P,-(dados!$B:$B=$B57),-(dados!$C:$C&lt;=$C57)))</f>
        <v>535.20971000000009</v>
      </c>
      <c r="Q57" s="48">
        <f>ABS(SUMPRODUCT(dados!Q:Q,-(dados!$B:$B=$B57),-(dados!$C:$C&lt;=$C57)))</f>
        <v>691.44713999999999</v>
      </c>
      <c r="R57" s="48">
        <f>ABS(SUMPRODUCT(dados!R:R,-(dados!$B:$B=$B57),-(dados!$C:$C&lt;=$C57)))</f>
        <v>653.11855000000003</v>
      </c>
      <c r="S57" s="48">
        <f>ABS(SUMPRODUCT(dados!S:S,-(dados!$B:$B=$B57),-(dados!$C:$C&lt;=$C57)))</f>
        <v>570.88449000000003</v>
      </c>
      <c r="T57" s="48">
        <f>ABS(SUMPRODUCT(dados!T:T,-(dados!$B:$B=$B57),-(dados!$C:$C&lt;=$C57)))</f>
        <v>216.22206</v>
      </c>
      <c r="U57" s="48">
        <f>ABS(SUMPRODUCT(dados!U:U,-(dados!$B:$B=$B57),-(dados!$C:$C&lt;=$C57)))</f>
        <v>571.31104000000005</v>
      </c>
    </row>
    <row r="58" spans="1:21" x14ac:dyDescent="0.25">
      <c r="A58" t="str">
        <f>dados!A58</f>
        <v>20217</v>
      </c>
      <c r="B58">
        <f>dados!B58</f>
        <v>2021</v>
      </c>
      <c r="C58">
        <f>dados!C58</f>
        <v>7</v>
      </c>
      <c r="D58" s="14">
        <f>dados!D58</f>
        <v>44378</v>
      </c>
      <c r="E58" s="48">
        <f>ABS(SUMPRODUCT(dados!E:E,-(dados!$B:$B=$B58),-(dados!$C:$C&lt;=$C58)))</f>
        <v>666.10778999999991</v>
      </c>
      <c r="F58" s="48">
        <f>ABS(SUMPRODUCT(dados!F:F,-(dados!$B:$B=$B58),-(dados!$C:$C&lt;=$C58)))</f>
        <v>653.72206999999992</v>
      </c>
      <c r="G58" s="48">
        <f>ABS(SUMPRODUCT(dados!G:G,-(dados!$B:$B=$B58),-(dados!$C:$C&lt;=$C58)))</f>
        <v>673.12067000000002</v>
      </c>
      <c r="H58" s="48">
        <f>ABS(SUMPRODUCT(dados!H:H,-(dados!$B:$B=$B58),-(dados!$C:$C&lt;=$C58)))</f>
        <v>641.97825</v>
      </c>
      <c r="I58" s="48">
        <f>ABS(SUMPRODUCT(dados!I:I,-(dados!$B:$B=$B58),-(dados!$C:$C&lt;=$C58)))</f>
        <v>607.5136</v>
      </c>
      <c r="J58" s="48">
        <f>ABS(SUMPRODUCT(dados!J:J,-(dados!$B:$B=$B58),-(dados!$C:$C&lt;=$C58)))</f>
        <v>713.45083</v>
      </c>
      <c r="K58" s="48">
        <f>ABS(SUMPRODUCT(dados!K:K,-(dados!$B:$B=$B58),-(dados!$C:$C&lt;=$C58)))</f>
        <v>0</v>
      </c>
      <c r="L58" s="48">
        <f>ABS(SUMPRODUCT(dados!L:L,-(dados!$B:$B=$B58),-(dados!$C:$C&lt;=$C58)))</f>
        <v>575.91915999999992</v>
      </c>
      <c r="M58" s="48">
        <f>ABS(SUMPRODUCT(dados!M:M,-(dados!$B:$B=$B58),-(dados!$C:$C&lt;=$C58)))</f>
        <v>639.95450000000005</v>
      </c>
      <c r="N58" s="48">
        <f>ABS(SUMPRODUCT(dados!N:N,-(dados!$B:$B=$B58),-(dados!$C:$C&lt;=$C58)))</f>
        <v>506.76958999999999</v>
      </c>
      <c r="O58" s="48">
        <f>ABS(SUMPRODUCT(dados!O:O,-(dados!$B:$B=$B58),-(dados!$C:$C&lt;=$C58)))</f>
        <v>753.83596</v>
      </c>
      <c r="P58" s="48">
        <f>ABS(SUMPRODUCT(dados!P:P,-(dados!$B:$B=$B58),-(dados!$C:$C&lt;=$C58)))</f>
        <v>626.0086500000001</v>
      </c>
      <c r="Q58" s="48">
        <f>ABS(SUMPRODUCT(dados!Q:Q,-(dados!$B:$B=$B58),-(dados!$C:$C&lt;=$C58)))</f>
        <v>814.38199999999995</v>
      </c>
      <c r="R58" s="48">
        <f>ABS(SUMPRODUCT(dados!R:R,-(dados!$B:$B=$B58),-(dados!$C:$C&lt;=$C58)))</f>
        <v>779.07982000000004</v>
      </c>
      <c r="S58" s="48">
        <f>ABS(SUMPRODUCT(dados!S:S,-(dados!$B:$B=$B58),-(dados!$C:$C&lt;=$C58)))</f>
        <v>685.34302000000002</v>
      </c>
      <c r="T58" s="48">
        <f>ABS(SUMPRODUCT(dados!T:T,-(dados!$B:$B=$B58),-(dados!$C:$C&lt;=$C58)))</f>
        <v>261.9828</v>
      </c>
      <c r="U58" s="48">
        <f>ABS(SUMPRODUCT(dados!U:U,-(dados!$B:$B=$B58),-(dados!$C:$C&lt;=$C58)))</f>
        <v>669.42340000000002</v>
      </c>
    </row>
    <row r="59" spans="1:21" x14ac:dyDescent="0.25">
      <c r="A59" t="str">
        <f>dados!A59</f>
        <v>20218</v>
      </c>
      <c r="B59">
        <f>dados!B59</f>
        <v>2021</v>
      </c>
      <c r="C59">
        <f>dados!C59</f>
        <v>8</v>
      </c>
      <c r="D59" s="14">
        <f>dados!D59</f>
        <v>44409</v>
      </c>
      <c r="E59" s="48">
        <f>ABS(SUMPRODUCT(dados!E:E,-(dados!$B:$B=$B59),-(dados!$C:$C&lt;=$C59)))</f>
        <v>761.58949999999993</v>
      </c>
      <c r="F59" s="48">
        <f>ABS(SUMPRODUCT(dados!F:F,-(dados!$B:$B=$B59),-(dados!$C:$C&lt;=$C59)))</f>
        <v>753.64140999999995</v>
      </c>
      <c r="G59" s="48">
        <f>ABS(SUMPRODUCT(dados!G:G,-(dados!$B:$B=$B59),-(dados!$C:$C&lt;=$C59)))</f>
        <v>775.33299999999997</v>
      </c>
      <c r="H59" s="48">
        <f>ABS(SUMPRODUCT(dados!H:H,-(dados!$B:$B=$B59),-(dados!$C:$C&lt;=$C59)))</f>
        <v>740.50943000000007</v>
      </c>
      <c r="I59" s="48">
        <f>ABS(SUMPRODUCT(dados!I:I,-(dados!$B:$B=$B59),-(dados!$C:$C&lt;=$C59)))</f>
        <v>711.34253000000001</v>
      </c>
      <c r="J59" s="48">
        <f>ABS(SUMPRODUCT(dados!J:J,-(dados!$B:$B=$B59),-(dados!$C:$C&lt;=$C59)))</f>
        <v>815.83029999999997</v>
      </c>
      <c r="K59" s="48">
        <f>ABS(SUMPRODUCT(dados!K:K,-(dados!$B:$B=$B59),-(dados!$C:$C&lt;=$C59)))</f>
        <v>0</v>
      </c>
      <c r="L59" s="48">
        <f>ABS(SUMPRODUCT(dados!L:L,-(dados!$B:$B=$B59),-(dados!$C:$C&lt;=$C59)))</f>
        <v>663.47560999999996</v>
      </c>
      <c r="M59" s="48">
        <f>ABS(SUMPRODUCT(dados!M:M,-(dados!$B:$B=$B59),-(dados!$C:$C&lt;=$C59)))</f>
        <v>752.50673000000006</v>
      </c>
      <c r="N59" s="48">
        <f>ABS(SUMPRODUCT(dados!N:N,-(dados!$B:$B=$B59),-(dados!$C:$C&lt;=$C59)))</f>
        <v>600.52175999999997</v>
      </c>
      <c r="O59" s="48">
        <f>ABS(SUMPRODUCT(dados!O:O,-(dados!$B:$B=$B59),-(dados!$C:$C&lt;=$C59)))</f>
        <v>860.44642999999996</v>
      </c>
      <c r="P59" s="48">
        <f>ABS(SUMPRODUCT(dados!P:P,-(dados!$B:$B=$B59),-(dados!$C:$C&lt;=$C59)))</f>
        <v>715.72717000000011</v>
      </c>
      <c r="Q59" s="48">
        <f>ABS(SUMPRODUCT(dados!Q:Q,-(dados!$B:$B=$B59),-(dados!$C:$C&lt;=$C59)))</f>
        <v>943.39472999999998</v>
      </c>
      <c r="R59" s="48">
        <f>ABS(SUMPRODUCT(dados!R:R,-(dados!$B:$B=$B59),-(dados!$C:$C&lt;=$C59)))</f>
        <v>873.47637000000009</v>
      </c>
      <c r="S59" s="48">
        <f>ABS(SUMPRODUCT(dados!S:S,-(dados!$B:$B=$B59),-(dados!$C:$C&lt;=$C59)))</f>
        <v>790.33812</v>
      </c>
      <c r="T59" s="48">
        <f>ABS(SUMPRODUCT(dados!T:T,-(dados!$B:$B=$B59),-(dados!$C:$C&lt;=$C59)))</f>
        <v>305.27364</v>
      </c>
      <c r="U59" s="48">
        <f>ABS(SUMPRODUCT(dados!U:U,-(dados!$B:$B=$B59),-(dados!$C:$C&lt;=$C59)))</f>
        <v>765.16822000000002</v>
      </c>
    </row>
    <row r="60" spans="1:21" x14ac:dyDescent="0.25">
      <c r="A60" t="str">
        <f>dados!A60</f>
        <v>20219</v>
      </c>
      <c r="B60">
        <f>dados!B60</f>
        <v>2021</v>
      </c>
      <c r="C60">
        <f>dados!C60</f>
        <v>9</v>
      </c>
      <c r="D60" s="14">
        <f>dados!D60</f>
        <v>44440</v>
      </c>
      <c r="E60" s="48">
        <f>ABS(SUMPRODUCT(dados!E:E,-(dados!$B:$B=$B60),-(dados!$C:$C&lt;=$C60)))</f>
        <v>858.73783999999989</v>
      </c>
      <c r="F60" s="48">
        <f>ABS(SUMPRODUCT(dados!F:F,-(dados!$B:$B=$B60),-(dados!$C:$C&lt;=$C60)))</f>
        <v>852.77992999999992</v>
      </c>
      <c r="G60" s="48">
        <f>ABS(SUMPRODUCT(dados!G:G,-(dados!$B:$B=$B60),-(dados!$C:$C&lt;=$C60)))</f>
        <v>873.94134999999994</v>
      </c>
      <c r="H60" s="48">
        <f>ABS(SUMPRODUCT(dados!H:H,-(dados!$B:$B=$B60),-(dados!$C:$C&lt;=$C60)))</f>
        <v>839.96891000000005</v>
      </c>
      <c r="I60" s="48">
        <f>ABS(SUMPRODUCT(dados!I:I,-(dados!$B:$B=$B60),-(dados!$C:$C&lt;=$C60)))</f>
        <v>824.20807000000002</v>
      </c>
      <c r="J60" s="48">
        <f>ABS(SUMPRODUCT(dados!J:J,-(dados!$B:$B=$B60),-(dados!$C:$C&lt;=$C60)))</f>
        <v>925.47452999999996</v>
      </c>
      <c r="K60" s="48">
        <f>ABS(SUMPRODUCT(dados!K:K,-(dados!$B:$B=$B60),-(dados!$C:$C&lt;=$C60)))</f>
        <v>0</v>
      </c>
      <c r="L60" s="48">
        <f>ABS(SUMPRODUCT(dados!L:L,-(dados!$B:$B=$B60),-(dados!$C:$C&lt;=$C60)))</f>
        <v>759.79525000000001</v>
      </c>
      <c r="M60" s="48">
        <f>ABS(SUMPRODUCT(dados!M:M,-(dados!$B:$B=$B60),-(dados!$C:$C&lt;=$C60)))</f>
        <v>860.86041</v>
      </c>
      <c r="N60" s="48">
        <f>ABS(SUMPRODUCT(dados!N:N,-(dados!$B:$B=$B60),-(dados!$C:$C&lt;=$C60)))</f>
        <v>686.75927000000001</v>
      </c>
      <c r="O60" s="48">
        <f>ABS(SUMPRODUCT(dados!O:O,-(dados!$B:$B=$B60),-(dados!$C:$C&lt;=$C60)))</f>
        <v>963.84700999999995</v>
      </c>
      <c r="P60" s="48">
        <f>ABS(SUMPRODUCT(dados!P:P,-(dados!$B:$B=$B60),-(dados!$C:$C&lt;=$C60)))</f>
        <v>814.87656000000015</v>
      </c>
      <c r="Q60" s="48">
        <f>ABS(SUMPRODUCT(dados!Q:Q,-(dados!$B:$B=$B60),-(dados!$C:$C&lt;=$C60)))</f>
        <v>1060.99125</v>
      </c>
      <c r="R60" s="48">
        <f>ABS(SUMPRODUCT(dados!R:R,-(dados!$B:$B=$B60),-(dados!$C:$C&lt;=$C60)))</f>
        <v>968.94256000000007</v>
      </c>
      <c r="S60" s="48">
        <f>ABS(SUMPRODUCT(dados!S:S,-(dados!$B:$B=$B60),-(dados!$C:$C&lt;=$C60)))</f>
        <v>880.16736000000003</v>
      </c>
      <c r="T60" s="48">
        <f>ABS(SUMPRODUCT(dados!T:T,-(dados!$B:$B=$B60),-(dados!$C:$C&lt;=$C60)))</f>
        <v>346.29910999999998</v>
      </c>
      <c r="U60" s="48">
        <f>ABS(SUMPRODUCT(dados!U:U,-(dados!$B:$B=$B60),-(dados!$C:$C&lt;=$C60)))</f>
        <v>864.74694</v>
      </c>
    </row>
    <row r="61" spans="1:21" x14ac:dyDescent="0.25">
      <c r="A61" t="str">
        <f>dados!A61</f>
        <v>202110</v>
      </c>
      <c r="B61">
        <f>dados!B61</f>
        <v>2021</v>
      </c>
      <c r="C61">
        <f>dados!C61</f>
        <v>10</v>
      </c>
      <c r="D61" s="14">
        <f>dados!D61</f>
        <v>44470</v>
      </c>
      <c r="E61" s="48">
        <f>ABS(SUMPRODUCT(dados!E:E,-(dados!$B:$B=$B61),-(dados!$C:$C&lt;=$C61)))</f>
        <v>954.87542999999994</v>
      </c>
      <c r="F61" s="48">
        <f>ABS(SUMPRODUCT(dados!F:F,-(dados!$B:$B=$B61),-(dados!$C:$C&lt;=$C61)))</f>
        <v>954.33936999999992</v>
      </c>
      <c r="G61" s="48">
        <f>ABS(SUMPRODUCT(dados!G:G,-(dados!$B:$B=$B61),-(dados!$C:$C&lt;=$C61)))</f>
        <v>967.60892999999999</v>
      </c>
      <c r="H61" s="48">
        <f>ABS(SUMPRODUCT(dados!H:H,-(dados!$B:$B=$B61),-(dados!$C:$C&lt;=$C61)))</f>
        <v>946.30604000000005</v>
      </c>
      <c r="I61" s="48">
        <f>ABS(SUMPRODUCT(dados!I:I,-(dados!$B:$B=$B61),-(dados!$C:$C&lt;=$C61)))</f>
        <v>942.79497000000003</v>
      </c>
      <c r="J61" s="48">
        <f>ABS(SUMPRODUCT(dados!J:J,-(dados!$B:$B=$B61),-(dados!$C:$C&lt;=$C61)))</f>
        <v>1047.79078</v>
      </c>
      <c r="K61" s="48">
        <f>ABS(SUMPRODUCT(dados!K:K,-(dados!$B:$B=$B61),-(dados!$C:$C&lt;=$C61)))</f>
        <v>0</v>
      </c>
      <c r="L61" s="48">
        <f>ABS(SUMPRODUCT(dados!L:L,-(dados!$B:$B=$B61),-(dados!$C:$C&lt;=$C61)))</f>
        <v>864.06611999999996</v>
      </c>
      <c r="M61" s="48">
        <f>ABS(SUMPRODUCT(dados!M:M,-(dados!$B:$B=$B61),-(dados!$C:$C&lt;=$C61)))</f>
        <v>977.04754000000003</v>
      </c>
      <c r="N61" s="48">
        <f>ABS(SUMPRODUCT(dados!N:N,-(dados!$B:$B=$B61),-(dados!$C:$C&lt;=$C61)))</f>
        <v>788.24481000000003</v>
      </c>
      <c r="O61" s="48">
        <f>ABS(SUMPRODUCT(dados!O:O,-(dados!$B:$B=$B61),-(dados!$C:$C&lt;=$C61)))</f>
        <v>1069.3112099999998</v>
      </c>
      <c r="P61" s="48">
        <f>ABS(SUMPRODUCT(dados!P:P,-(dados!$B:$B=$B61),-(dados!$C:$C&lt;=$C61)))</f>
        <v>912.60573000000011</v>
      </c>
      <c r="Q61" s="48">
        <f>ABS(SUMPRODUCT(dados!Q:Q,-(dados!$B:$B=$B61),-(dados!$C:$C&lt;=$C61)))</f>
        <v>1177.8519900000001</v>
      </c>
      <c r="R61" s="48">
        <f>ABS(SUMPRODUCT(dados!R:R,-(dados!$B:$B=$B61),-(dados!$C:$C&lt;=$C61)))</f>
        <v>1067.3168800000001</v>
      </c>
      <c r="S61" s="48">
        <f>ABS(SUMPRODUCT(dados!S:S,-(dados!$B:$B=$B61),-(dados!$C:$C&lt;=$C61)))</f>
        <v>981.23842999999999</v>
      </c>
      <c r="T61" s="48">
        <f>ABS(SUMPRODUCT(dados!T:T,-(dados!$B:$B=$B61),-(dados!$C:$C&lt;=$C61)))</f>
        <v>406.02932999999996</v>
      </c>
      <c r="U61" s="48">
        <f>ABS(SUMPRODUCT(dados!U:U,-(dados!$B:$B=$B61),-(dados!$C:$C&lt;=$C61)))</f>
        <v>966.59863999999993</v>
      </c>
    </row>
    <row r="62" spans="1:21" x14ac:dyDescent="0.25">
      <c r="A62" t="str">
        <f>dados!A62</f>
        <v>202111</v>
      </c>
      <c r="B62">
        <f>dados!B62</f>
        <v>2021</v>
      </c>
      <c r="C62">
        <f>dados!C62</f>
        <v>11</v>
      </c>
      <c r="D62" s="14">
        <f>dados!D62</f>
        <v>44501</v>
      </c>
      <c r="E62" s="48">
        <f>ABS(SUMPRODUCT(dados!E:E,-(dados!$B:$B=$B62),-(dados!$C:$C&lt;=$C62)))</f>
        <v>1049.92013</v>
      </c>
      <c r="F62" s="48">
        <f>ABS(SUMPRODUCT(dados!F:F,-(dados!$B:$B=$B62),-(dados!$C:$C&lt;=$C62)))</f>
        <v>1050.2294099999999</v>
      </c>
      <c r="G62" s="48">
        <f>ABS(SUMPRODUCT(dados!G:G,-(dados!$B:$B=$B62),-(dados!$C:$C&lt;=$C62)))</f>
        <v>1062.7528600000001</v>
      </c>
      <c r="H62" s="48">
        <f>ABS(SUMPRODUCT(dados!H:H,-(dados!$B:$B=$B62),-(dados!$C:$C&lt;=$C62)))</f>
        <v>1042.64778</v>
      </c>
      <c r="I62" s="48">
        <f>ABS(SUMPRODUCT(dados!I:I,-(dados!$B:$B=$B62),-(dados!$C:$C&lt;=$C62)))</f>
        <v>1059.43461</v>
      </c>
      <c r="J62" s="48">
        <f>ABS(SUMPRODUCT(dados!J:J,-(dados!$B:$B=$B62),-(dados!$C:$C&lt;=$C62)))</f>
        <v>1152.45427</v>
      </c>
      <c r="K62" s="48">
        <f>ABS(SUMPRODUCT(dados!K:K,-(dados!$B:$B=$B62),-(dados!$C:$C&lt;=$C62)))</f>
        <v>0</v>
      </c>
      <c r="L62" s="48">
        <f>ABS(SUMPRODUCT(dados!L:L,-(dados!$B:$B=$B62),-(dados!$C:$C&lt;=$C62)))</f>
        <v>960.92174999999997</v>
      </c>
      <c r="M62" s="48">
        <f>ABS(SUMPRODUCT(dados!M:M,-(dados!$B:$B=$B62),-(dados!$C:$C&lt;=$C62)))</f>
        <v>1086.68851</v>
      </c>
      <c r="N62" s="48">
        <f>ABS(SUMPRODUCT(dados!N:N,-(dados!$B:$B=$B62),-(dados!$C:$C&lt;=$C62)))</f>
        <v>869.14584000000002</v>
      </c>
      <c r="O62" s="48">
        <f>ABS(SUMPRODUCT(dados!O:O,-(dados!$B:$B=$B62),-(dados!$C:$C&lt;=$C62)))</f>
        <v>1170.3233699999998</v>
      </c>
      <c r="P62" s="48">
        <f>ABS(SUMPRODUCT(dados!P:P,-(dados!$B:$B=$B62),-(dados!$C:$C&lt;=$C62)))</f>
        <v>1004.3429500000001</v>
      </c>
      <c r="Q62" s="48">
        <f>ABS(SUMPRODUCT(dados!Q:Q,-(dados!$B:$B=$B62),-(dados!$C:$C&lt;=$C62)))</f>
        <v>1270.3145200000001</v>
      </c>
      <c r="R62" s="48">
        <f>ABS(SUMPRODUCT(dados!R:R,-(dados!$B:$B=$B62),-(dados!$C:$C&lt;=$C62)))</f>
        <v>1161.0869500000001</v>
      </c>
      <c r="S62" s="48">
        <f>ABS(SUMPRODUCT(dados!S:S,-(dados!$B:$B=$B62),-(dados!$C:$C&lt;=$C62)))</f>
        <v>1071.4672399999999</v>
      </c>
      <c r="T62" s="48">
        <f>ABS(SUMPRODUCT(dados!T:T,-(dados!$B:$B=$B62),-(dados!$C:$C&lt;=$C62)))</f>
        <v>470.14869999999996</v>
      </c>
      <c r="U62" s="48">
        <f>ABS(SUMPRODUCT(dados!U:U,-(dados!$B:$B=$B62),-(dados!$C:$C&lt;=$C62)))</f>
        <v>1067.8039099999999</v>
      </c>
    </row>
    <row r="63" spans="1:21" x14ac:dyDescent="0.25">
      <c r="A63" t="str">
        <f>dados!A63</f>
        <v>202112</v>
      </c>
      <c r="B63">
        <f>dados!B63</f>
        <v>2021</v>
      </c>
      <c r="C63">
        <f>dados!C63</f>
        <v>12</v>
      </c>
      <c r="D63" s="14">
        <f>dados!D63</f>
        <v>44531</v>
      </c>
      <c r="E63" s="48">
        <f>ABS(SUMPRODUCT(dados!E:E,-(dados!$B:$B=$B63),-(dados!$C:$C&lt;=$C63)))</f>
        <v>1147.5160100000001</v>
      </c>
      <c r="F63" s="48">
        <f>ABS(SUMPRODUCT(dados!F:F,-(dados!$B:$B=$B63),-(dados!$C:$C&lt;=$C63)))</f>
        <v>1147.66913</v>
      </c>
      <c r="G63" s="48">
        <f>ABS(SUMPRODUCT(dados!G:G,-(dados!$B:$B=$B63),-(dados!$C:$C&lt;=$C63)))</f>
        <v>1159.4106900000002</v>
      </c>
      <c r="H63" s="48">
        <f>ABS(SUMPRODUCT(dados!H:H,-(dados!$B:$B=$B63),-(dados!$C:$C&lt;=$C63)))</f>
        <v>1140.5608500000001</v>
      </c>
      <c r="I63" s="48">
        <f>ABS(SUMPRODUCT(dados!I:I,-(dados!$B:$B=$B63),-(dados!$C:$C&lt;=$C63)))</f>
        <v>1153.8724400000001</v>
      </c>
      <c r="J63" s="48">
        <f>ABS(SUMPRODUCT(dados!J:J,-(dados!$B:$B=$B63),-(dados!$C:$C&lt;=$C63)))</f>
        <v>1269.30448</v>
      </c>
      <c r="K63" s="48">
        <f>ABS(SUMPRODUCT(dados!K:K,-(dados!$B:$B=$B63),-(dados!$C:$C&lt;=$C63)))</f>
        <v>0</v>
      </c>
      <c r="L63" s="48">
        <f>ABS(SUMPRODUCT(dados!L:L,-(dados!$B:$B=$B63),-(dados!$C:$C&lt;=$C63)))</f>
        <v>1068.0952199999999</v>
      </c>
      <c r="M63" s="48">
        <f>ABS(SUMPRODUCT(dados!M:M,-(dados!$B:$B=$B63),-(dados!$C:$C&lt;=$C63)))</f>
        <v>1181.56351</v>
      </c>
      <c r="N63" s="48">
        <f>ABS(SUMPRODUCT(dados!N:N,-(dados!$B:$B=$B63),-(dados!$C:$C&lt;=$C63)))</f>
        <v>938.16615999999999</v>
      </c>
      <c r="O63" s="48">
        <f>ABS(SUMPRODUCT(dados!O:O,-(dados!$B:$B=$B63),-(dados!$C:$C&lt;=$C63)))</f>
        <v>1254.8653599999998</v>
      </c>
      <c r="P63" s="48">
        <f>ABS(SUMPRODUCT(dados!P:P,-(dados!$B:$B=$B63),-(dados!$C:$C&lt;=$C63)))</f>
        <v>1092.4471700000001</v>
      </c>
      <c r="Q63" s="48">
        <f>ABS(SUMPRODUCT(dados!Q:Q,-(dados!$B:$B=$B63),-(dados!$C:$C&lt;=$C63)))</f>
        <v>1366.32293</v>
      </c>
      <c r="R63" s="48">
        <f>ABS(SUMPRODUCT(dados!R:R,-(dados!$B:$B=$B63),-(dados!$C:$C&lt;=$C63)))</f>
        <v>1266.4530000000002</v>
      </c>
      <c r="S63" s="48">
        <f>ABS(SUMPRODUCT(dados!S:S,-(dados!$B:$B=$B63),-(dados!$C:$C&lt;=$C63)))</f>
        <v>1150.3765699999999</v>
      </c>
      <c r="T63" s="48">
        <f>ABS(SUMPRODUCT(dados!T:T,-(dados!$B:$B=$B63),-(dados!$C:$C&lt;=$C63)))</f>
        <v>533.01889999999992</v>
      </c>
      <c r="U63" s="48">
        <f>ABS(SUMPRODUCT(dados!U:U,-(dados!$B:$B=$B63),-(dados!$C:$C&lt;=$C63)))</f>
        <v>1183.5651499999999</v>
      </c>
    </row>
    <row r="64" spans="1:21" x14ac:dyDescent="0.25">
      <c r="A64" t="str">
        <f>dados!A64</f>
        <v>20221</v>
      </c>
      <c r="B64">
        <f>dados!B64</f>
        <v>2022</v>
      </c>
      <c r="C64">
        <f>dados!C64</f>
        <v>1</v>
      </c>
      <c r="D64" s="14">
        <f>dados!D64</f>
        <v>44562</v>
      </c>
      <c r="E64" s="48">
        <f>ABS(SUMPRODUCT(dados!E:E,-(dados!$B:$B=$B64),-(dados!$C:$C&lt;=$C64)))</f>
        <v>96.995800000000003</v>
      </c>
      <c r="F64" s="48">
        <f>ABS(SUMPRODUCT(dados!F:F,-(dados!$B:$B=$B64),-(dados!$C:$C&lt;=$C64)))</f>
        <v>97.700919999999996</v>
      </c>
      <c r="G64" s="48">
        <f>ABS(SUMPRODUCT(dados!G:G,-(dados!$B:$B=$B64),-(dados!$C:$C&lt;=$C64)))</f>
        <v>102.38742000000001</v>
      </c>
      <c r="H64" s="48">
        <f>ABS(SUMPRODUCT(dados!H:H,-(dados!$B:$B=$B64),-(dados!$C:$C&lt;=$C64)))</f>
        <v>92.614739999999998</v>
      </c>
      <c r="I64" s="48">
        <f>ABS(SUMPRODUCT(dados!I:I,-(dados!$B:$B=$B64),-(dados!$C:$C&lt;=$C64)))</f>
        <v>102.96514000000001</v>
      </c>
      <c r="J64" s="48">
        <f>ABS(SUMPRODUCT(dados!J:J,-(dados!$B:$B=$B64),-(dados!$C:$C&lt;=$C64)))</f>
        <v>107.48877</v>
      </c>
      <c r="K64" s="48">
        <f>ABS(SUMPRODUCT(dados!K:K,-(dados!$B:$B=$B64),-(dados!$C:$C&lt;=$C64)))</f>
        <v>0</v>
      </c>
      <c r="L64" s="48">
        <f>ABS(SUMPRODUCT(dados!L:L,-(dados!$B:$B=$B64),-(dados!$C:$C&lt;=$C64)))</f>
        <v>91.454419999999999</v>
      </c>
      <c r="M64" s="48">
        <f>ABS(SUMPRODUCT(dados!M:M,-(dados!$B:$B=$B64),-(dados!$C:$C&lt;=$C64)))</f>
        <v>104.8411</v>
      </c>
      <c r="N64" s="48">
        <f>ABS(SUMPRODUCT(dados!N:N,-(dados!$B:$B=$B64),-(dados!$C:$C&lt;=$C64)))</f>
        <v>37.576610000000002</v>
      </c>
      <c r="O64" s="48">
        <f>ABS(SUMPRODUCT(dados!O:O,-(dados!$B:$B=$B64),-(dados!$C:$C&lt;=$C64)))</f>
        <v>100.96261</v>
      </c>
      <c r="P64" s="48">
        <f>ABS(SUMPRODUCT(dados!P:P,-(dados!$B:$B=$B64),-(dados!$C:$C&lt;=$C64)))</f>
        <v>101.39698</v>
      </c>
      <c r="Q64" s="48">
        <f>ABS(SUMPRODUCT(dados!Q:Q,-(dados!$B:$B=$B64),-(dados!$C:$C&lt;=$C64)))</f>
        <v>91.333370000000002</v>
      </c>
      <c r="R64" s="48">
        <f>ABS(SUMPRODUCT(dados!R:R,-(dados!$B:$B=$B64),-(dados!$C:$C&lt;=$C64)))</f>
        <v>123.24924</v>
      </c>
      <c r="S64" s="48">
        <f>ABS(SUMPRODUCT(dados!S:S,-(dados!$B:$B=$B64),-(dados!$C:$C&lt;=$C64)))</f>
        <v>69.107609999999994</v>
      </c>
      <c r="T64" s="48">
        <f>ABS(SUMPRODUCT(dados!T:T,-(dados!$B:$B=$B64),-(dados!$C:$C&lt;=$C64)))</f>
        <v>62.00647</v>
      </c>
      <c r="U64" s="48">
        <f>ABS(SUMPRODUCT(dados!U:U,-(dados!$B:$B=$B64),-(dados!$C:$C&lt;=$C64)))</f>
        <v>94.919169999999994</v>
      </c>
    </row>
    <row r="65" spans="1:21" x14ac:dyDescent="0.25">
      <c r="A65" t="str">
        <f>dados!A65</f>
        <v>20222</v>
      </c>
      <c r="B65">
        <f>dados!B65</f>
        <v>2022</v>
      </c>
      <c r="C65">
        <f>dados!C65</f>
        <v>2</v>
      </c>
      <c r="D65" s="14">
        <f>dados!D65</f>
        <v>44593</v>
      </c>
      <c r="E65" s="48">
        <f>ABS(SUMPRODUCT(dados!E:E,-(dados!$B:$B=$B65),-(dados!$C:$C&lt;=$C65)))</f>
        <v>192.40030000000002</v>
      </c>
      <c r="F65" s="48">
        <f>ABS(SUMPRODUCT(dados!F:F,-(dados!$B:$B=$B65),-(dados!$C:$C&lt;=$C65)))</f>
        <v>185.53197999999998</v>
      </c>
      <c r="G65" s="48">
        <f>ABS(SUMPRODUCT(dados!G:G,-(dados!$B:$B=$B65),-(dados!$C:$C&lt;=$C65)))</f>
        <v>191.81988999999999</v>
      </c>
      <c r="H65" s="48">
        <f>ABS(SUMPRODUCT(dados!H:H,-(dados!$B:$B=$B65),-(dados!$C:$C&lt;=$C65)))</f>
        <v>178.70780999999999</v>
      </c>
      <c r="I65" s="48">
        <f>ABS(SUMPRODUCT(dados!I:I,-(dados!$B:$B=$B65),-(dados!$C:$C&lt;=$C65)))</f>
        <v>200.07262</v>
      </c>
      <c r="J65" s="48">
        <f>ABS(SUMPRODUCT(dados!J:J,-(dados!$B:$B=$B65),-(dados!$C:$C&lt;=$C65)))</f>
        <v>200.79588999999999</v>
      </c>
      <c r="K65" s="48">
        <f>ABS(SUMPRODUCT(dados!K:K,-(dados!$B:$B=$B65),-(dados!$C:$C&lt;=$C65)))</f>
        <v>0</v>
      </c>
      <c r="L65" s="48">
        <f>ABS(SUMPRODUCT(dados!L:L,-(dados!$B:$B=$B65),-(dados!$C:$C&lt;=$C65)))</f>
        <v>162.79599999999999</v>
      </c>
      <c r="M65" s="48">
        <f>ABS(SUMPRODUCT(dados!M:M,-(dados!$B:$B=$B65),-(dados!$C:$C&lt;=$C65)))</f>
        <v>187.63153</v>
      </c>
      <c r="N65" s="48">
        <f>ABS(SUMPRODUCT(dados!N:N,-(dados!$B:$B=$B65),-(dados!$C:$C&lt;=$C65)))</f>
        <v>118.43249</v>
      </c>
      <c r="O65" s="48">
        <f>ABS(SUMPRODUCT(dados!O:O,-(dados!$B:$B=$B65),-(dados!$C:$C&lt;=$C65)))</f>
        <v>200.6516</v>
      </c>
      <c r="P65" s="48">
        <f>ABS(SUMPRODUCT(dados!P:P,-(dados!$B:$B=$B65),-(dados!$C:$C&lt;=$C65)))</f>
        <v>194.33742000000001</v>
      </c>
      <c r="Q65" s="48">
        <f>ABS(SUMPRODUCT(dados!Q:Q,-(dados!$B:$B=$B65),-(dados!$C:$C&lt;=$C65)))</f>
        <v>195.32378</v>
      </c>
      <c r="R65" s="48">
        <f>ABS(SUMPRODUCT(dados!R:R,-(dados!$B:$B=$B65),-(dados!$C:$C&lt;=$C65)))</f>
        <v>227.72525000000002</v>
      </c>
      <c r="S65" s="48">
        <f>ABS(SUMPRODUCT(dados!S:S,-(dados!$B:$B=$B65),-(dados!$C:$C&lt;=$C65)))</f>
        <v>158.90159999999997</v>
      </c>
      <c r="T65" s="48">
        <f>ABS(SUMPRODUCT(dados!T:T,-(dados!$B:$B=$B65),-(dados!$C:$C&lt;=$C65)))</f>
        <v>117.45839000000001</v>
      </c>
      <c r="U65" s="48">
        <f>ABS(SUMPRODUCT(dados!U:U,-(dados!$B:$B=$B65),-(dados!$C:$C&lt;=$C65)))</f>
        <v>184.42833999999999</v>
      </c>
    </row>
    <row r="66" spans="1:21" x14ac:dyDescent="0.25">
      <c r="A66" t="str">
        <f>dados!A66</f>
        <v>20223</v>
      </c>
      <c r="B66">
        <f>dados!B66</f>
        <v>2022</v>
      </c>
      <c r="C66">
        <f>dados!C66</f>
        <v>3</v>
      </c>
      <c r="D66" s="14">
        <f>dados!D66</f>
        <v>44621</v>
      </c>
      <c r="E66" s="48">
        <f>ABS(SUMPRODUCT(dados!E:E,-(dados!$B:$B=$B66),-(dados!$C:$C&lt;=$C66)))</f>
        <v>291.13364999999999</v>
      </c>
      <c r="F66" s="48">
        <f>ABS(SUMPRODUCT(dados!F:F,-(dados!$B:$B=$B66),-(dados!$C:$C&lt;=$C66)))</f>
        <v>282.38513</v>
      </c>
      <c r="G66" s="48">
        <f>ABS(SUMPRODUCT(dados!G:G,-(dados!$B:$B=$B66),-(dados!$C:$C&lt;=$C66)))</f>
        <v>294.83232999999996</v>
      </c>
      <c r="H66" s="48">
        <f>ABS(SUMPRODUCT(dados!H:H,-(dados!$B:$B=$B66),-(dados!$C:$C&lt;=$C66)))</f>
        <v>268.87639000000001</v>
      </c>
      <c r="I66" s="48">
        <f>ABS(SUMPRODUCT(dados!I:I,-(dados!$B:$B=$B66),-(dados!$C:$C&lt;=$C66)))</f>
        <v>306.3553</v>
      </c>
      <c r="J66" s="48">
        <f>ABS(SUMPRODUCT(dados!J:J,-(dados!$B:$B=$B66),-(dados!$C:$C&lt;=$C66)))</f>
        <v>307.88432999999998</v>
      </c>
      <c r="K66" s="48">
        <f>ABS(SUMPRODUCT(dados!K:K,-(dados!$B:$B=$B66),-(dados!$C:$C&lt;=$C66)))</f>
        <v>0</v>
      </c>
      <c r="L66" s="48">
        <f>ABS(SUMPRODUCT(dados!L:L,-(dados!$B:$B=$B66),-(dados!$C:$C&lt;=$C66)))</f>
        <v>236.51833999999999</v>
      </c>
      <c r="M66" s="48">
        <f>ABS(SUMPRODUCT(dados!M:M,-(dados!$B:$B=$B66),-(dados!$C:$C&lt;=$C66)))</f>
        <v>277.56407000000002</v>
      </c>
      <c r="N66" s="48">
        <f>ABS(SUMPRODUCT(dados!N:N,-(dados!$B:$B=$B66),-(dados!$C:$C&lt;=$C66)))</f>
        <v>177.41129000000001</v>
      </c>
      <c r="O66" s="48">
        <f>ABS(SUMPRODUCT(dados!O:O,-(dados!$B:$B=$B66),-(dados!$C:$C&lt;=$C66)))</f>
        <v>299.20920999999998</v>
      </c>
      <c r="P66" s="48">
        <f>ABS(SUMPRODUCT(dados!P:P,-(dados!$B:$B=$B66),-(dados!$C:$C&lt;=$C66)))</f>
        <v>297.21827000000002</v>
      </c>
      <c r="Q66" s="48">
        <f>ABS(SUMPRODUCT(dados!Q:Q,-(dados!$B:$B=$B66),-(dados!$C:$C&lt;=$C66)))</f>
        <v>291.77516000000003</v>
      </c>
      <c r="R66" s="48">
        <f>ABS(SUMPRODUCT(dados!R:R,-(dados!$B:$B=$B66),-(dados!$C:$C&lt;=$C66)))</f>
        <v>333.71397999999999</v>
      </c>
      <c r="S66" s="48">
        <f>ABS(SUMPRODUCT(dados!S:S,-(dados!$B:$B=$B66),-(dados!$C:$C&lt;=$C66)))</f>
        <v>262.12727999999998</v>
      </c>
      <c r="T66" s="48">
        <f>ABS(SUMPRODUCT(dados!T:T,-(dados!$B:$B=$B66),-(dados!$C:$C&lt;=$C66)))</f>
        <v>178.26734000000002</v>
      </c>
      <c r="U66" s="48">
        <f>ABS(SUMPRODUCT(dados!U:U,-(dados!$B:$B=$B66),-(dados!$C:$C&lt;=$C66)))</f>
        <v>286.25736999999998</v>
      </c>
    </row>
    <row r="67" spans="1:21" x14ac:dyDescent="0.25">
      <c r="A67" t="str">
        <f>dados!A67</f>
        <v>20224</v>
      </c>
      <c r="B67">
        <f>dados!B67</f>
        <v>2022</v>
      </c>
      <c r="C67">
        <f>dados!C67</f>
        <v>4</v>
      </c>
      <c r="D67" s="14">
        <f>dados!D67</f>
        <v>44652</v>
      </c>
      <c r="E67" s="48">
        <f>ABS(SUMPRODUCT(dados!E:E,-(dados!$B:$B=$B67),-(dados!$C:$C&lt;=$C67)))</f>
        <v>397.18061</v>
      </c>
      <c r="F67" s="48">
        <f>ABS(SUMPRODUCT(dados!F:F,-(dados!$B:$B=$B67),-(dados!$C:$C&lt;=$C67)))</f>
        <v>383.36993000000001</v>
      </c>
      <c r="G67" s="48">
        <f>ABS(SUMPRODUCT(dados!G:G,-(dados!$B:$B=$B67),-(dados!$C:$C&lt;=$C67)))</f>
        <v>393.99297999999999</v>
      </c>
      <c r="H67" s="48">
        <f>ABS(SUMPRODUCT(dados!H:H,-(dados!$B:$B=$B67),-(dados!$C:$C&lt;=$C67)))</f>
        <v>371.84091999999998</v>
      </c>
      <c r="I67" s="48">
        <f>ABS(SUMPRODUCT(dados!I:I,-(dados!$B:$B=$B67),-(dados!$C:$C&lt;=$C67)))</f>
        <v>402.75803000000002</v>
      </c>
      <c r="J67" s="48">
        <f>ABS(SUMPRODUCT(dados!J:J,-(dados!$B:$B=$B67),-(dados!$C:$C&lt;=$C67)))</f>
        <v>403.10591999999997</v>
      </c>
      <c r="K67" s="48">
        <f>ABS(SUMPRODUCT(dados!K:K,-(dados!$B:$B=$B67),-(dados!$C:$C&lt;=$C67)))</f>
        <v>0</v>
      </c>
      <c r="L67" s="48">
        <f>ABS(SUMPRODUCT(dados!L:L,-(dados!$B:$B=$B67),-(dados!$C:$C&lt;=$C67)))</f>
        <v>343.01779999999997</v>
      </c>
      <c r="M67" s="48">
        <f>ABS(SUMPRODUCT(dados!M:M,-(dados!$B:$B=$B67),-(dados!$C:$C&lt;=$C67)))</f>
        <v>362.97331000000003</v>
      </c>
      <c r="N67" s="48">
        <f>ABS(SUMPRODUCT(dados!N:N,-(dados!$B:$B=$B67),-(dados!$C:$C&lt;=$C67)))</f>
        <v>360.98172999999997</v>
      </c>
      <c r="O67" s="48">
        <f>ABS(SUMPRODUCT(dados!O:O,-(dados!$B:$B=$B67),-(dados!$C:$C&lt;=$C67)))</f>
        <v>399.06142999999997</v>
      </c>
      <c r="P67" s="48">
        <f>ABS(SUMPRODUCT(dados!P:P,-(dados!$B:$B=$B67),-(dados!$C:$C&lt;=$C67)))</f>
        <v>391.68338</v>
      </c>
      <c r="Q67" s="48">
        <f>ABS(SUMPRODUCT(dados!Q:Q,-(dados!$B:$B=$B67),-(dados!$C:$C&lt;=$C67)))</f>
        <v>391.55706000000004</v>
      </c>
      <c r="R67" s="48">
        <f>ABS(SUMPRODUCT(dados!R:R,-(dados!$B:$B=$B67),-(dados!$C:$C&lt;=$C67)))</f>
        <v>427.83292</v>
      </c>
      <c r="S67" s="48">
        <f>ABS(SUMPRODUCT(dados!S:S,-(dados!$B:$B=$B67),-(dados!$C:$C&lt;=$C67)))</f>
        <v>358.11216999999999</v>
      </c>
      <c r="T67" s="48">
        <f>ABS(SUMPRODUCT(dados!T:T,-(dados!$B:$B=$B67),-(dados!$C:$C&lt;=$C67)))</f>
        <v>238.94391000000002</v>
      </c>
      <c r="U67" s="48">
        <f>ABS(SUMPRODUCT(dados!U:U,-(dados!$B:$B=$B67),-(dados!$C:$C&lt;=$C67)))</f>
        <v>386.92406</v>
      </c>
    </row>
    <row r="68" spans="1:21" x14ac:dyDescent="0.25">
      <c r="A68" t="str">
        <f>dados!A68</f>
        <v>20225</v>
      </c>
      <c r="B68">
        <f>dados!B68</f>
        <v>2022</v>
      </c>
      <c r="C68">
        <f>dados!C68</f>
        <v>5</v>
      </c>
      <c r="D68" s="14">
        <f>dados!D68</f>
        <v>44682</v>
      </c>
      <c r="E68" s="48">
        <f>ABS(SUMPRODUCT(dados!E:E,-(dados!$B:$B=$B68),-(dados!$C:$C&lt;=$C68)))</f>
        <v>494.23771999999997</v>
      </c>
      <c r="F68" s="48">
        <f>ABS(SUMPRODUCT(dados!F:F,-(dados!$B:$B=$B68),-(dados!$C:$C&lt;=$C68)))</f>
        <v>479.35750000000002</v>
      </c>
      <c r="G68" s="48">
        <f>ABS(SUMPRODUCT(dados!G:G,-(dados!$B:$B=$B68),-(dados!$C:$C&lt;=$C68)))</f>
        <v>486.49181999999996</v>
      </c>
      <c r="H68" s="48">
        <f>ABS(SUMPRODUCT(dados!H:H,-(dados!$B:$B=$B68),-(dados!$C:$C&lt;=$C68)))</f>
        <v>471.61473999999998</v>
      </c>
      <c r="I68" s="48">
        <f>ABS(SUMPRODUCT(dados!I:I,-(dados!$B:$B=$B68),-(dados!$C:$C&lt;=$C68)))</f>
        <v>514.37148999999999</v>
      </c>
      <c r="J68" s="48">
        <f>ABS(SUMPRODUCT(dados!J:J,-(dados!$B:$B=$B68),-(dados!$C:$C&lt;=$C68)))</f>
        <v>506.17373999999995</v>
      </c>
      <c r="K68" s="48">
        <f>ABS(SUMPRODUCT(dados!K:K,-(dados!$B:$B=$B68),-(dados!$C:$C&lt;=$C68)))</f>
        <v>0</v>
      </c>
      <c r="L68" s="48">
        <f>ABS(SUMPRODUCT(dados!L:L,-(dados!$B:$B=$B68),-(dados!$C:$C&lt;=$C68)))</f>
        <v>447.18124999999998</v>
      </c>
      <c r="M68" s="48">
        <f>ABS(SUMPRODUCT(dados!M:M,-(dados!$B:$B=$B68),-(dados!$C:$C&lt;=$C68)))</f>
        <v>447.47293999999999</v>
      </c>
      <c r="N68" s="48">
        <f>ABS(SUMPRODUCT(dados!N:N,-(dados!$B:$B=$B68),-(dados!$C:$C&lt;=$C68)))</f>
        <v>437.70910999999995</v>
      </c>
      <c r="O68" s="48">
        <f>ABS(SUMPRODUCT(dados!O:O,-(dados!$B:$B=$B68),-(dados!$C:$C&lt;=$C68)))</f>
        <v>505.34198999999995</v>
      </c>
      <c r="P68" s="48">
        <f>ABS(SUMPRODUCT(dados!P:P,-(dados!$B:$B=$B68),-(dados!$C:$C&lt;=$C68)))</f>
        <v>495.39989000000003</v>
      </c>
      <c r="Q68" s="48">
        <f>ABS(SUMPRODUCT(dados!Q:Q,-(dados!$B:$B=$B68),-(dados!$C:$C&lt;=$C68)))</f>
        <v>489.23360000000002</v>
      </c>
      <c r="R68" s="48">
        <f>ABS(SUMPRODUCT(dados!R:R,-(dados!$B:$B=$B68),-(dados!$C:$C&lt;=$C68)))</f>
        <v>530.72077000000002</v>
      </c>
      <c r="S68" s="48">
        <f>ABS(SUMPRODUCT(dados!S:S,-(dados!$B:$B=$B68),-(dados!$C:$C&lt;=$C68)))</f>
        <v>467.43759</v>
      </c>
      <c r="T68" s="48">
        <f>ABS(SUMPRODUCT(dados!T:T,-(dados!$B:$B=$B68),-(dados!$C:$C&lt;=$C68)))</f>
        <v>330.98112000000003</v>
      </c>
      <c r="U68" s="48">
        <f>ABS(SUMPRODUCT(dados!U:U,-(dados!$B:$B=$B68),-(dados!$C:$C&lt;=$C68)))</f>
        <v>487.69627000000003</v>
      </c>
    </row>
    <row r="69" spans="1:21" x14ac:dyDescent="0.25">
      <c r="A69" t="str">
        <f>dados!A69</f>
        <v>20226</v>
      </c>
      <c r="B69">
        <f>dados!B69</f>
        <v>2022</v>
      </c>
      <c r="C69">
        <f>dados!C69</f>
        <v>6</v>
      </c>
      <c r="D69" s="14">
        <f>dados!D69</f>
        <v>44713</v>
      </c>
      <c r="E69" s="48">
        <f>ABS(SUMPRODUCT(dados!E:E,-(dados!$B:$B=$B69),-(dados!$C:$C&lt;=$C69)))</f>
        <v>587.23039999999992</v>
      </c>
      <c r="F69" s="48">
        <f>ABS(SUMPRODUCT(dados!F:F,-(dados!$B:$B=$B69),-(dados!$C:$C&lt;=$C69)))</f>
        <v>570.43429000000003</v>
      </c>
      <c r="G69" s="48">
        <f>ABS(SUMPRODUCT(dados!G:G,-(dados!$B:$B=$B69),-(dados!$C:$C&lt;=$C69)))</f>
        <v>575.54954999999995</v>
      </c>
      <c r="H69" s="48">
        <f>ABS(SUMPRODUCT(dados!H:H,-(dados!$B:$B=$B69),-(dados!$C:$C&lt;=$C69)))</f>
        <v>564.88278000000003</v>
      </c>
      <c r="I69" s="48">
        <f>ABS(SUMPRODUCT(dados!I:I,-(dados!$B:$B=$B69),-(dados!$C:$C&lt;=$C69)))</f>
        <v>610.19268999999997</v>
      </c>
      <c r="J69" s="48">
        <f>ABS(SUMPRODUCT(dados!J:J,-(dados!$B:$B=$B69),-(dados!$C:$C&lt;=$C69)))</f>
        <v>592.80223000000001</v>
      </c>
      <c r="K69" s="48">
        <f>ABS(SUMPRODUCT(dados!K:K,-(dados!$B:$B=$B69),-(dados!$C:$C&lt;=$C69)))</f>
        <v>0</v>
      </c>
      <c r="L69" s="48">
        <f>ABS(SUMPRODUCT(dados!L:L,-(dados!$B:$B=$B69),-(dados!$C:$C&lt;=$C69)))</f>
        <v>538.48662999999999</v>
      </c>
      <c r="M69" s="48">
        <f>ABS(SUMPRODUCT(dados!M:M,-(dados!$B:$B=$B69),-(dados!$C:$C&lt;=$C69)))</f>
        <v>535.18606</v>
      </c>
      <c r="N69" s="48">
        <f>ABS(SUMPRODUCT(dados!N:N,-(dados!$B:$B=$B69),-(dados!$C:$C&lt;=$C69)))</f>
        <v>480.12756999999993</v>
      </c>
      <c r="O69" s="48">
        <f>ABS(SUMPRODUCT(dados!O:O,-(dados!$B:$B=$B69),-(dados!$C:$C&lt;=$C69)))</f>
        <v>607.52718999999991</v>
      </c>
      <c r="P69" s="48">
        <f>ABS(SUMPRODUCT(dados!P:P,-(dados!$B:$B=$B69),-(dados!$C:$C&lt;=$C69)))</f>
        <v>587.04692</v>
      </c>
      <c r="Q69" s="48">
        <f>ABS(SUMPRODUCT(dados!Q:Q,-(dados!$B:$B=$B69),-(dados!$C:$C&lt;=$C69)))</f>
        <v>594.16514000000006</v>
      </c>
      <c r="R69" s="48">
        <f>ABS(SUMPRODUCT(dados!R:R,-(dados!$B:$B=$B69),-(dados!$C:$C&lt;=$C69)))</f>
        <v>628.48518999999999</v>
      </c>
      <c r="S69" s="48">
        <f>ABS(SUMPRODUCT(dados!S:S,-(dados!$B:$B=$B69),-(dados!$C:$C&lt;=$C69)))</f>
        <v>571.94735000000003</v>
      </c>
      <c r="T69" s="48">
        <f>ABS(SUMPRODUCT(dados!T:T,-(dados!$B:$B=$B69),-(dados!$C:$C&lt;=$C69)))</f>
        <v>429.07388000000003</v>
      </c>
      <c r="U69" s="48">
        <f>ABS(SUMPRODUCT(dados!U:U,-(dados!$B:$B=$B69),-(dados!$C:$C&lt;=$C69)))</f>
        <v>589.92645000000005</v>
      </c>
    </row>
    <row r="70" spans="1:21" x14ac:dyDescent="0.25">
      <c r="A70" t="str">
        <f>dados!A70</f>
        <v>20227</v>
      </c>
      <c r="B70">
        <f>dados!B70</f>
        <v>2022</v>
      </c>
      <c r="C70">
        <f>dados!C70</f>
        <v>7</v>
      </c>
      <c r="D70" s="14">
        <f>dados!D70</f>
        <v>44743</v>
      </c>
      <c r="E70" s="48">
        <f>ABS(SUMPRODUCT(dados!E:E,-(dados!$B:$B=$B70),-(dados!$C:$C&lt;=$C70)))</f>
        <v>685.98687999999993</v>
      </c>
      <c r="F70" s="48">
        <f>ABS(SUMPRODUCT(dados!F:F,-(dados!$B:$B=$B70),-(dados!$C:$C&lt;=$C70)))</f>
        <v>673.05802000000006</v>
      </c>
      <c r="G70" s="48">
        <f>ABS(SUMPRODUCT(dados!G:G,-(dados!$B:$B=$B70),-(dados!$C:$C&lt;=$C70)))</f>
        <v>674.1438599999999</v>
      </c>
      <c r="H70" s="48">
        <f>ABS(SUMPRODUCT(dados!H:H,-(dados!$B:$B=$B70),-(dados!$C:$C&lt;=$C70)))</f>
        <v>671.87958000000003</v>
      </c>
      <c r="I70" s="48">
        <f>ABS(SUMPRODUCT(dados!I:I,-(dados!$B:$B=$B70),-(dados!$C:$C&lt;=$C70)))</f>
        <v>711.89090999999996</v>
      </c>
      <c r="J70" s="48">
        <f>ABS(SUMPRODUCT(dados!J:J,-(dados!$B:$B=$B70),-(dados!$C:$C&lt;=$C70)))</f>
        <v>673.89246000000003</v>
      </c>
      <c r="K70" s="48">
        <f>ABS(SUMPRODUCT(dados!K:K,-(dados!$B:$B=$B70),-(dados!$C:$C&lt;=$C70)))</f>
        <v>0</v>
      </c>
      <c r="L70" s="48">
        <f>ABS(SUMPRODUCT(dados!L:L,-(dados!$B:$B=$B70),-(dados!$C:$C&lt;=$C70)))</f>
        <v>651.56538999999998</v>
      </c>
      <c r="M70" s="48">
        <f>ABS(SUMPRODUCT(dados!M:M,-(dados!$B:$B=$B70),-(dados!$C:$C&lt;=$C70)))</f>
        <v>645.91533000000004</v>
      </c>
      <c r="N70" s="48">
        <f>ABS(SUMPRODUCT(dados!N:N,-(dados!$B:$B=$B70),-(dados!$C:$C&lt;=$C70)))</f>
        <v>583.81625999999994</v>
      </c>
      <c r="O70" s="48">
        <f>ABS(SUMPRODUCT(dados!O:O,-(dados!$B:$B=$B70),-(dados!$C:$C&lt;=$C70)))</f>
        <v>715.04151999999988</v>
      </c>
      <c r="P70" s="48">
        <f>ABS(SUMPRODUCT(dados!P:P,-(dados!$B:$B=$B70),-(dados!$C:$C&lt;=$C70)))</f>
        <v>683.85001999999997</v>
      </c>
      <c r="Q70" s="48">
        <f>ABS(SUMPRODUCT(dados!Q:Q,-(dados!$B:$B=$B70),-(dados!$C:$C&lt;=$C70)))</f>
        <v>706.71740000000011</v>
      </c>
      <c r="R70" s="48">
        <f>ABS(SUMPRODUCT(dados!R:R,-(dados!$B:$B=$B70),-(dados!$C:$C&lt;=$C70)))</f>
        <v>732.6327</v>
      </c>
      <c r="S70" s="48">
        <f>ABS(SUMPRODUCT(dados!S:S,-(dados!$B:$B=$B70),-(dados!$C:$C&lt;=$C70)))</f>
        <v>688.73927000000003</v>
      </c>
      <c r="T70" s="48">
        <f>ABS(SUMPRODUCT(dados!T:T,-(dados!$B:$B=$B70),-(dados!$C:$C&lt;=$C70)))</f>
        <v>531.14211999999998</v>
      </c>
      <c r="U70" s="48">
        <f>ABS(SUMPRODUCT(dados!U:U,-(dados!$B:$B=$B70),-(dados!$C:$C&lt;=$C70)))</f>
        <v>690.17469000000006</v>
      </c>
    </row>
    <row r="71" spans="1:21" x14ac:dyDescent="0.25">
      <c r="A71" t="str">
        <f>dados!A71</f>
        <v>20228</v>
      </c>
      <c r="B71">
        <f>dados!B71</f>
        <v>2022</v>
      </c>
      <c r="C71">
        <f>dados!C71</f>
        <v>8</v>
      </c>
      <c r="D71" s="14">
        <f>dados!D71</f>
        <v>44774</v>
      </c>
      <c r="E71" s="48">
        <f>ABS(SUMPRODUCT(dados!E:E,-(dados!$B:$B=$B71),-(dados!$C:$C&lt;=$C71)))</f>
        <v>786.43938999999989</v>
      </c>
      <c r="F71" s="48">
        <f>ABS(SUMPRODUCT(dados!F:F,-(dados!$B:$B=$B71),-(dados!$C:$C&lt;=$C71)))</f>
        <v>778.35416000000009</v>
      </c>
      <c r="G71" s="48">
        <f>ABS(SUMPRODUCT(dados!G:G,-(dados!$B:$B=$B71),-(dados!$C:$C&lt;=$C71)))</f>
        <v>775.23399999999992</v>
      </c>
      <c r="H71" s="48">
        <f>ABS(SUMPRODUCT(dados!H:H,-(dados!$B:$B=$B71),-(dados!$C:$C&lt;=$C71)))</f>
        <v>781.74043000000006</v>
      </c>
      <c r="I71" s="48">
        <f>ABS(SUMPRODUCT(dados!I:I,-(dados!$B:$B=$B71),-(dados!$C:$C&lt;=$C71)))</f>
        <v>808.57953999999995</v>
      </c>
      <c r="J71" s="48">
        <f>ABS(SUMPRODUCT(dados!J:J,-(dados!$B:$B=$B71),-(dados!$C:$C&lt;=$C71)))</f>
        <v>776.16246000000001</v>
      </c>
      <c r="K71" s="48">
        <f>ABS(SUMPRODUCT(dados!K:K,-(dados!$B:$B=$B71),-(dados!$C:$C&lt;=$C71)))</f>
        <v>0</v>
      </c>
      <c r="L71" s="48">
        <f>ABS(SUMPRODUCT(dados!L:L,-(dados!$B:$B=$B71),-(dados!$C:$C&lt;=$C71)))</f>
        <v>760.63964999999996</v>
      </c>
      <c r="M71" s="48">
        <f>ABS(SUMPRODUCT(dados!M:M,-(dados!$B:$B=$B71),-(dados!$C:$C&lt;=$C71)))</f>
        <v>762.84261000000004</v>
      </c>
      <c r="N71" s="48">
        <f>ABS(SUMPRODUCT(dados!N:N,-(dados!$B:$B=$B71),-(dados!$C:$C&lt;=$C71)))</f>
        <v>707.73448999999994</v>
      </c>
      <c r="O71" s="48">
        <f>ABS(SUMPRODUCT(dados!O:O,-(dados!$B:$B=$B71),-(dados!$C:$C&lt;=$C71)))</f>
        <v>821.35854999999992</v>
      </c>
      <c r="P71" s="48">
        <f>ABS(SUMPRODUCT(dados!P:P,-(dados!$B:$B=$B71),-(dados!$C:$C&lt;=$C71)))</f>
        <v>791.56885</v>
      </c>
      <c r="Q71" s="48">
        <f>ABS(SUMPRODUCT(dados!Q:Q,-(dados!$B:$B=$B71),-(dados!$C:$C&lt;=$C71)))</f>
        <v>820.39014000000009</v>
      </c>
      <c r="R71" s="48">
        <f>ABS(SUMPRODUCT(dados!R:R,-(dados!$B:$B=$B71),-(dados!$C:$C&lt;=$C71)))</f>
        <v>833.59551999999996</v>
      </c>
      <c r="S71" s="48">
        <f>ABS(SUMPRODUCT(dados!S:S,-(dados!$B:$B=$B71),-(dados!$C:$C&lt;=$C71)))</f>
        <v>801.98399000000006</v>
      </c>
      <c r="T71" s="48">
        <f>ABS(SUMPRODUCT(dados!T:T,-(dados!$B:$B=$B71),-(dados!$C:$C&lt;=$C71)))</f>
        <v>651.48973000000001</v>
      </c>
      <c r="U71" s="48">
        <f>ABS(SUMPRODUCT(dados!U:U,-(dados!$B:$B=$B71),-(dados!$C:$C&lt;=$C71)))</f>
        <v>799.29479000000003</v>
      </c>
    </row>
    <row r="72" spans="1:21" x14ac:dyDescent="0.25">
      <c r="A72" t="str">
        <f>dados!A72</f>
        <v>20229</v>
      </c>
      <c r="B72">
        <f>dados!B72</f>
        <v>2022</v>
      </c>
      <c r="C72">
        <f>dados!C72</f>
        <v>9</v>
      </c>
      <c r="D72" s="14">
        <f>dados!D72</f>
        <v>44805</v>
      </c>
      <c r="E72" s="48">
        <f>ABS(SUMPRODUCT(dados!E:E,-(dados!$B:$B=$B72),-(dados!$C:$C&lt;=$C72)))</f>
        <v>887.1439499999999</v>
      </c>
      <c r="F72" s="48">
        <f>ABS(SUMPRODUCT(dados!F:F,-(dados!$B:$B=$B72),-(dados!$C:$C&lt;=$C72)))</f>
        <v>881.3212400000001</v>
      </c>
      <c r="G72" s="48">
        <f>ABS(SUMPRODUCT(dados!G:G,-(dados!$B:$B=$B72),-(dados!$C:$C&lt;=$C72)))</f>
        <v>876.57224999999994</v>
      </c>
      <c r="H72" s="48">
        <f>ABS(SUMPRODUCT(dados!H:H,-(dados!$B:$B=$B72),-(dados!$C:$C&lt;=$C72)))</f>
        <v>886.47526000000005</v>
      </c>
      <c r="I72" s="48">
        <f>ABS(SUMPRODUCT(dados!I:I,-(dados!$B:$B=$B72),-(dados!$C:$C&lt;=$C72)))</f>
        <v>902.18921</v>
      </c>
      <c r="J72" s="48">
        <f>ABS(SUMPRODUCT(dados!J:J,-(dados!$B:$B=$B72),-(dados!$C:$C&lt;=$C72)))</f>
        <v>870.24824999999998</v>
      </c>
      <c r="K72" s="48">
        <f>ABS(SUMPRODUCT(dados!K:K,-(dados!$B:$B=$B72),-(dados!$C:$C&lt;=$C72)))</f>
        <v>0</v>
      </c>
      <c r="L72" s="48">
        <f>ABS(SUMPRODUCT(dados!L:L,-(dados!$B:$B=$B72),-(dados!$C:$C&lt;=$C72)))</f>
        <v>872.37275</v>
      </c>
      <c r="M72" s="48">
        <f>ABS(SUMPRODUCT(dados!M:M,-(dados!$B:$B=$B72),-(dados!$C:$C&lt;=$C72)))</f>
        <v>883.39175999999998</v>
      </c>
      <c r="N72" s="48">
        <f>ABS(SUMPRODUCT(dados!N:N,-(dados!$B:$B=$B72),-(dados!$C:$C&lt;=$C72)))</f>
        <v>820.15306999999996</v>
      </c>
      <c r="O72" s="48">
        <f>ABS(SUMPRODUCT(dados!O:O,-(dados!$B:$B=$B72),-(dados!$C:$C&lt;=$C72)))</f>
        <v>921.94657999999993</v>
      </c>
      <c r="P72" s="48">
        <f>ABS(SUMPRODUCT(dados!P:P,-(dados!$B:$B=$B72),-(dados!$C:$C&lt;=$C72)))</f>
        <v>890.58722</v>
      </c>
      <c r="Q72" s="48">
        <f>ABS(SUMPRODUCT(dados!Q:Q,-(dados!$B:$B=$B72),-(dados!$C:$C&lt;=$C72)))</f>
        <v>914.17076000000009</v>
      </c>
      <c r="R72" s="48">
        <f>ABS(SUMPRODUCT(dados!R:R,-(dados!$B:$B=$B72),-(dados!$C:$C&lt;=$C72)))</f>
        <v>931.87274000000002</v>
      </c>
      <c r="S72" s="48">
        <f>ABS(SUMPRODUCT(dados!S:S,-(dados!$B:$B=$B72),-(dados!$C:$C&lt;=$C72)))</f>
        <v>898.26567</v>
      </c>
      <c r="T72" s="48">
        <f>ABS(SUMPRODUCT(dados!T:T,-(dados!$B:$B=$B72),-(dados!$C:$C&lt;=$C72)))</f>
        <v>781.96937000000003</v>
      </c>
      <c r="U72" s="48">
        <f>ABS(SUMPRODUCT(dados!U:U,-(dados!$B:$B=$B72),-(dados!$C:$C&lt;=$C72)))</f>
        <v>902.59252000000004</v>
      </c>
    </row>
    <row r="73" spans="1:21" x14ac:dyDescent="0.25">
      <c r="A73" t="str">
        <f>dados!A73</f>
        <v>202210</v>
      </c>
      <c r="B73">
        <f>dados!B73</f>
        <v>2022</v>
      </c>
      <c r="C73">
        <f>dados!C73</f>
        <v>10</v>
      </c>
      <c r="D73" s="14">
        <f>dados!D73</f>
        <v>44835</v>
      </c>
      <c r="E73" s="48">
        <f>ABS(SUMPRODUCT(dados!E:E,-(dados!$B:$B=$B73),-(dados!$C:$C&lt;=$C73)))</f>
        <v>996.45947999999987</v>
      </c>
      <c r="F73" s="48">
        <f>ABS(SUMPRODUCT(dados!F:F,-(dados!$B:$B=$B73),-(dados!$C:$C&lt;=$C73)))</f>
        <v>996.14949000000013</v>
      </c>
      <c r="G73" s="48">
        <f>ABS(SUMPRODUCT(dados!G:G,-(dados!$B:$B=$B73),-(dados!$C:$C&lt;=$C73)))</f>
        <v>998.69358999999997</v>
      </c>
      <c r="H73" s="48">
        <f>ABS(SUMPRODUCT(dados!H:H,-(dados!$B:$B=$B73),-(dados!$C:$C&lt;=$C73)))</f>
        <v>993.38844000000006</v>
      </c>
      <c r="I73" s="48">
        <f>ABS(SUMPRODUCT(dados!I:I,-(dados!$B:$B=$B73),-(dados!$C:$C&lt;=$C73)))</f>
        <v>998.89038000000005</v>
      </c>
      <c r="J73" s="48">
        <f>ABS(SUMPRODUCT(dados!J:J,-(dados!$B:$B=$B73),-(dados!$C:$C&lt;=$C73)))</f>
        <v>970.78520000000003</v>
      </c>
      <c r="K73" s="48">
        <f>ABS(SUMPRODUCT(dados!K:K,-(dados!$B:$B=$B73),-(dados!$C:$C&lt;=$C73)))</f>
        <v>0</v>
      </c>
      <c r="L73" s="48">
        <f>ABS(SUMPRODUCT(dados!L:L,-(dados!$B:$B=$B73),-(dados!$C:$C&lt;=$C73)))</f>
        <v>981.09718999999996</v>
      </c>
      <c r="M73" s="48">
        <f>ABS(SUMPRODUCT(dados!M:M,-(dados!$B:$B=$B73),-(dados!$C:$C&lt;=$C73)))</f>
        <v>1005.65292</v>
      </c>
      <c r="N73" s="48">
        <f>ABS(SUMPRODUCT(dados!N:N,-(dados!$B:$B=$B73),-(dados!$C:$C&lt;=$C73)))</f>
        <v>913.3447799999999</v>
      </c>
      <c r="O73" s="48">
        <f>ABS(SUMPRODUCT(dados!O:O,-(dados!$B:$B=$B73),-(dados!$C:$C&lt;=$C73)))</f>
        <v>1025.38077</v>
      </c>
      <c r="P73" s="48">
        <f>ABS(SUMPRODUCT(dados!P:P,-(dados!$B:$B=$B73),-(dados!$C:$C&lt;=$C73)))</f>
        <v>986.65765999999996</v>
      </c>
      <c r="Q73" s="48">
        <f>ABS(SUMPRODUCT(dados!Q:Q,-(dados!$B:$B=$B73),-(dados!$C:$C&lt;=$C73)))</f>
        <v>1025.0808100000002</v>
      </c>
      <c r="R73" s="48">
        <f>ABS(SUMPRODUCT(dados!R:R,-(dados!$B:$B=$B73),-(dados!$C:$C&lt;=$C73)))</f>
        <v>1028.9857</v>
      </c>
      <c r="S73" s="48">
        <f>ABS(SUMPRODUCT(dados!S:S,-(dados!$B:$B=$B73),-(dados!$C:$C&lt;=$C73)))</f>
        <v>998.61008000000004</v>
      </c>
      <c r="T73" s="48">
        <f>ABS(SUMPRODUCT(dados!T:T,-(dados!$B:$B=$B73),-(dados!$C:$C&lt;=$C73)))</f>
        <v>917.98401999999999</v>
      </c>
      <c r="U73" s="48">
        <f>ABS(SUMPRODUCT(dados!U:U,-(dados!$B:$B=$B73),-(dados!$C:$C&lt;=$C73)))</f>
        <v>1006.9459800000001</v>
      </c>
    </row>
    <row r="74" spans="1:21" x14ac:dyDescent="0.25">
      <c r="A74" t="str">
        <f>dados!A74</f>
        <v>202211</v>
      </c>
      <c r="B74">
        <f>dados!B74</f>
        <v>2022</v>
      </c>
      <c r="C74">
        <f>dados!C74</f>
        <v>11</v>
      </c>
      <c r="D74" s="14">
        <f>dados!D74</f>
        <v>44866</v>
      </c>
      <c r="E74" s="48">
        <f>ABS(SUMPRODUCT(dados!E:E,-(dados!$B:$B=$B74),-(dados!$C:$C&lt;=$C74)))</f>
        <v>1098.2601299999999</v>
      </c>
      <c r="F74" s="48">
        <f>ABS(SUMPRODUCT(dados!F:F,-(dados!$B:$B=$B74),-(dados!$C:$C&lt;=$C74)))</f>
        <v>1098.6670800000002</v>
      </c>
      <c r="G74" s="48">
        <f>ABS(SUMPRODUCT(dados!G:G,-(dados!$B:$B=$B74),-(dados!$C:$C&lt;=$C74)))</f>
        <v>1099.65526</v>
      </c>
      <c r="H74" s="48">
        <f>ABS(SUMPRODUCT(dados!H:H,-(dados!$B:$B=$B74),-(dados!$C:$C&lt;=$C74)))</f>
        <v>1097.59464</v>
      </c>
      <c r="I74" s="48">
        <f>ABS(SUMPRODUCT(dados!I:I,-(dados!$B:$B=$B74),-(dados!$C:$C&lt;=$C74)))</f>
        <v>1097.7547500000001</v>
      </c>
      <c r="J74" s="48">
        <f>ABS(SUMPRODUCT(dados!J:J,-(dados!$B:$B=$B74),-(dados!$C:$C&lt;=$C74)))</f>
        <v>1081.17626</v>
      </c>
      <c r="K74" s="48">
        <f>ABS(SUMPRODUCT(dados!K:K,-(dados!$B:$B=$B74),-(dados!$C:$C&lt;=$C74)))</f>
        <v>0</v>
      </c>
      <c r="L74" s="48">
        <f>ABS(SUMPRODUCT(dados!L:L,-(dados!$B:$B=$B74),-(dados!$C:$C&lt;=$C74)))</f>
        <v>1078.78307</v>
      </c>
      <c r="M74" s="48">
        <f>ABS(SUMPRODUCT(dados!M:M,-(dados!$B:$B=$B74),-(dados!$C:$C&lt;=$C74)))</f>
        <v>1123.83728</v>
      </c>
      <c r="N74" s="48">
        <f>ABS(SUMPRODUCT(dados!N:N,-(dados!$B:$B=$B74),-(dados!$C:$C&lt;=$C74)))</f>
        <v>1067.90814</v>
      </c>
      <c r="O74" s="48">
        <f>ABS(SUMPRODUCT(dados!O:O,-(dados!$B:$B=$B74),-(dados!$C:$C&lt;=$C74)))</f>
        <v>1120.19046</v>
      </c>
      <c r="P74" s="48">
        <f>ABS(SUMPRODUCT(dados!P:P,-(dados!$B:$B=$B74),-(dados!$C:$C&lt;=$C74)))</f>
        <v>1089.1123299999999</v>
      </c>
      <c r="Q74" s="48">
        <f>ABS(SUMPRODUCT(dados!Q:Q,-(dados!$B:$B=$B74),-(dados!$C:$C&lt;=$C74)))</f>
        <v>1123.5696600000001</v>
      </c>
      <c r="R74" s="48">
        <f>ABS(SUMPRODUCT(dados!R:R,-(dados!$B:$B=$B74),-(dados!$C:$C&lt;=$C74)))</f>
        <v>1117.1895399999999</v>
      </c>
      <c r="S74" s="48">
        <f>ABS(SUMPRODUCT(dados!S:S,-(dados!$B:$B=$B74),-(dados!$C:$C&lt;=$C74)))</f>
        <v>1108.2258200000001</v>
      </c>
      <c r="T74" s="48">
        <f>ABS(SUMPRODUCT(dados!T:T,-(dados!$B:$B=$B74),-(dados!$C:$C&lt;=$C74)))</f>
        <v>1055.94615</v>
      </c>
      <c r="U74" s="48">
        <f>ABS(SUMPRODUCT(dados!U:U,-(dados!$B:$B=$B74),-(dados!$C:$C&lt;=$C74)))</f>
        <v>1098.4947300000001</v>
      </c>
    </row>
    <row r="75" spans="1:21" x14ac:dyDescent="0.25">
      <c r="A75" t="str">
        <f>dados!A75</f>
        <v>202212</v>
      </c>
      <c r="B75">
        <f>dados!B75</f>
        <v>2022</v>
      </c>
      <c r="C75">
        <f>dados!C75</f>
        <v>12</v>
      </c>
      <c r="D75" s="14">
        <f>dados!D75</f>
        <v>44896</v>
      </c>
      <c r="E75" s="48">
        <f>ABS(SUMPRODUCT(dados!E:E,-(dados!$B:$B=$B75),-(dados!$C:$C&lt;=$C75)))</f>
        <v>1199.7910899999999</v>
      </c>
      <c r="F75" s="48">
        <f>ABS(SUMPRODUCT(dados!F:F,-(dados!$B:$B=$B75),-(dados!$C:$C&lt;=$C75)))</f>
        <v>1200.0000000000002</v>
      </c>
      <c r="G75" s="48">
        <f>ABS(SUMPRODUCT(dados!G:G,-(dados!$B:$B=$B75),-(dados!$C:$C&lt;=$C75)))</f>
        <v>1199.99999</v>
      </c>
      <c r="H75" s="48">
        <f>ABS(SUMPRODUCT(dados!H:H,-(dados!$B:$B=$B75),-(dados!$C:$C&lt;=$C75)))</f>
        <v>1200.0000199999999</v>
      </c>
      <c r="I75" s="48">
        <f>ABS(SUMPRODUCT(dados!I:I,-(dados!$B:$B=$B75),-(dados!$C:$C&lt;=$C75)))</f>
        <v>1200</v>
      </c>
      <c r="J75" s="48">
        <f>ABS(SUMPRODUCT(dados!J:J,-(dados!$B:$B=$B75),-(dados!$C:$C&lt;=$C75)))</f>
        <v>1200.00001</v>
      </c>
      <c r="K75" s="48">
        <f>ABS(SUMPRODUCT(dados!K:K,-(dados!$B:$B=$B75),-(dados!$C:$C&lt;=$C75)))</f>
        <v>0</v>
      </c>
      <c r="L75" s="48">
        <f>ABS(SUMPRODUCT(dados!L:L,-(dados!$B:$B=$B75),-(dados!$C:$C&lt;=$C75)))</f>
        <v>1200</v>
      </c>
      <c r="M75" s="48">
        <f>ABS(SUMPRODUCT(dados!M:M,-(dados!$B:$B=$B75),-(dados!$C:$C&lt;=$C75)))</f>
        <v>1199.9999800000001</v>
      </c>
      <c r="N75" s="48">
        <f>ABS(SUMPRODUCT(dados!N:N,-(dados!$B:$B=$B75),-(dados!$C:$C&lt;=$C75)))</f>
        <v>1200</v>
      </c>
      <c r="O75" s="48">
        <f>ABS(SUMPRODUCT(dados!O:O,-(dados!$B:$B=$B75),-(dados!$C:$C&lt;=$C75)))</f>
        <v>1200</v>
      </c>
      <c r="P75" s="48">
        <f>ABS(SUMPRODUCT(dados!P:P,-(dados!$B:$B=$B75),-(dados!$C:$C&lt;=$C75)))</f>
        <v>1199.99972</v>
      </c>
      <c r="Q75" s="48">
        <f>ABS(SUMPRODUCT(dados!Q:Q,-(dados!$B:$B=$B75),-(dados!$C:$C&lt;=$C75)))</f>
        <v>1199.99999</v>
      </c>
      <c r="R75" s="48">
        <f>ABS(SUMPRODUCT(dados!R:R,-(dados!$B:$B=$B75),-(dados!$C:$C&lt;=$C75)))</f>
        <v>1199.9999799999998</v>
      </c>
      <c r="S75" s="48">
        <f>ABS(SUMPRODUCT(dados!S:S,-(dados!$B:$B=$B75),-(dados!$C:$C&lt;=$C75)))</f>
        <v>1199.99999</v>
      </c>
      <c r="T75" s="48">
        <f>ABS(SUMPRODUCT(dados!T:T,-(dados!$B:$B=$B75),-(dados!$C:$C&lt;=$C75)))</f>
        <v>1200.00001</v>
      </c>
      <c r="U75" s="48">
        <f>ABS(SUMPRODUCT(dados!U:U,-(dados!$B:$B=$B75),-(dados!$C:$C&lt;=$C75)))</f>
        <v>1200.0002900000002</v>
      </c>
    </row>
    <row r="76" spans="1:21" x14ac:dyDescent="0.25">
      <c r="A76" t="str">
        <f>dados!A76</f>
        <v>20231</v>
      </c>
      <c r="B76">
        <f>dados!B76</f>
        <v>2023</v>
      </c>
      <c r="C76">
        <f>dados!C76</f>
        <v>1</v>
      </c>
      <c r="D76" s="14">
        <f>dados!D76</f>
        <v>44927</v>
      </c>
      <c r="E76" s="48">
        <f>ABS(SUMPRODUCT(dados!E:E,-(dados!$B:$B=$B76),-(dados!$C:$C&lt;=$C76)))</f>
        <v>100.73014999999999</v>
      </c>
      <c r="F76" s="48">
        <f>ABS(SUMPRODUCT(dados!F:F,-(dados!$B:$B=$B76),-(dados!$C:$C&lt;=$C76)))</f>
        <v>101.15138</v>
      </c>
      <c r="G76" s="48">
        <f>ABS(SUMPRODUCT(dados!G:G,-(dados!$B:$B=$B76),-(dados!$C:$C&lt;=$C76)))</f>
        <v>106.67131999999999</v>
      </c>
      <c r="H76" s="48">
        <f>ABS(SUMPRODUCT(dados!H:H,-(dados!$B:$B=$B76),-(dados!$C:$C&lt;=$C76)))</f>
        <v>95.160679999999999</v>
      </c>
      <c r="I76" s="48">
        <f>ABS(SUMPRODUCT(dados!I:I,-(dados!$B:$B=$B76),-(dados!$C:$C&lt;=$C76)))</f>
        <v>96.27731</v>
      </c>
      <c r="J76" s="48">
        <f>ABS(SUMPRODUCT(dados!J:J,-(dados!$B:$B=$B76),-(dados!$C:$C&lt;=$C76)))</f>
        <v>99.742130000000003</v>
      </c>
      <c r="K76" s="48">
        <f>ABS(SUMPRODUCT(dados!K:K,-(dados!$B:$B=$B76),-(dados!$C:$C&lt;=$C76)))</f>
        <v>0</v>
      </c>
      <c r="L76" s="48">
        <f>ABS(SUMPRODUCT(dados!L:L,-(dados!$B:$B=$B76),-(dados!$C:$C&lt;=$C76)))</f>
        <v>106.50855</v>
      </c>
      <c r="M76" s="48">
        <f>ABS(SUMPRODUCT(dados!M:M,-(dados!$B:$B=$B76),-(dados!$C:$C&lt;=$C76)))</f>
        <v>99.623109999999997</v>
      </c>
      <c r="N76" s="48">
        <f>ABS(SUMPRODUCT(dados!N:N,-(dados!$B:$B=$B76),-(dados!$C:$C&lt;=$C76)))</f>
        <v>78.891570000000002</v>
      </c>
      <c r="O76" s="48">
        <f>ABS(SUMPRODUCT(dados!O:O,-(dados!$B:$B=$B76),-(dados!$C:$C&lt;=$C76)))</f>
        <v>90.239369999999994</v>
      </c>
      <c r="P76" s="48">
        <f>ABS(SUMPRODUCT(dados!P:P,-(dados!$B:$B=$B76),-(dados!$C:$C&lt;=$C76)))</f>
        <v>112.25317</v>
      </c>
      <c r="Q76" s="48">
        <f>ABS(SUMPRODUCT(dados!Q:Q,-(dados!$B:$B=$B76),-(dados!$C:$C&lt;=$C76)))</f>
        <v>84.306219999999996</v>
      </c>
      <c r="R76" s="48">
        <f>ABS(SUMPRODUCT(dados!R:R,-(dados!$B:$B=$B76),-(dados!$C:$C&lt;=$C76)))</f>
        <v>90.359470000000002</v>
      </c>
      <c r="S76" s="48">
        <f>ABS(SUMPRODUCT(dados!S:S,-(dados!$B:$B=$B76),-(dados!$C:$C&lt;=$C76)))</f>
        <v>72.304659999999998</v>
      </c>
      <c r="T76" s="48">
        <f>ABS(SUMPRODUCT(dados!T:T,-(dados!$B:$B=$B76),-(dados!$C:$C&lt;=$C76)))</f>
        <v>162.55031</v>
      </c>
      <c r="U76" s="48">
        <f>ABS(SUMPRODUCT(dados!U:U,-(dados!$B:$B=$B76),-(dados!$C:$C&lt;=$C76)))</f>
        <v>98.461129999999997</v>
      </c>
    </row>
    <row r="77" spans="1:21" x14ac:dyDescent="0.25">
      <c r="A77" t="str">
        <f>dados!A77</f>
        <v>20232</v>
      </c>
      <c r="B77">
        <f>dados!B77</f>
        <v>2023</v>
      </c>
      <c r="C77">
        <f>dados!C77</f>
        <v>2</v>
      </c>
      <c r="D77" s="14">
        <f>dados!D77</f>
        <v>44958</v>
      </c>
      <c r="E77" s="48">
        <f>ABS(SUMPRODUCT(dados!E:E,-(dados!$B:$B=$B77),-(dados!$C:$C&lt;=$C77)))</f>
        <v>202.51033999999999</v>
      </c>
      <c r="F77" s="48">
        <f>ABS(SUMPRODUCT(dados!F:F,-(dados!$B:$B=$B77),-(dados!$C:$C&lt;=$C77)))</f>
        <v>194.58906999999999</v>
      </c>
      <c r="G77" s="48">
        <f>ABS(SUMPRODUCT(dados!G:G,-(dados!$B:$B=$B77),-(dados!$C:$C&lt;=$C77)))</f>
        <v>200.85386</v>
      </c>
      <c r="H77" s="48">
        <f>ABS(SUMPRODUCT(dados!H:H,-(dados!$B:$B=$B77),-(dados!$C:$C&lt;=$C77)))</f>
        <v>187.78998999999999</v>
      </c>
      <c r="I77" s="48">
        <f>ABS(SUMPRODUCT(dados!I:I,-(dados!$B:$B=$B77),-(dados!$C:$C&lt;=$C77)))</f>
        <v>182.62295</v>
      </c>
      <c r="J77" s="48">
        <f>ABS(SUMPRODUCT(dados!J:J,-(dados!$B:$B=$B77),-(dados!$C:$C&lt;=$C77)))</f>
        <v>203.31198000000001</v>
      </c>
      <c r="K77" s="48">
        <f>ABS(SUMPRODUCT(dados!K:K,-(dados!$B:$B=$B77),-(dados!$C:$C&lt;=$C77)))</f>
        <v>0</v>
      </c>
      <c r="L77" s="48">
        <f>ABS(SUMPRODUCT(dados!L:L,-(dados!$B:$B=$B77),-(dados!$C:$C&lt;=$C77)))</f>
        <v>215.45447000000001</v>
      </c>
      <c r="M77" s="48">
        <f>ABS(SUMPRODUCT(dados!M:M,-(dados!$B:$B=$B77),-(dados!$C:$C&lt;=$C77)))</f>
        <v>182.40872000000002</v>
      </c>
      <c r="N77" s="48">
        <f>ABS(SUMPRODUCT(dados!N:N,-(dados!$B:$B=$B77),-(dados!$C:$C&lt;=$C77)))</f>
        <v>159.28163000000001</v>
      </c>
      <c r="O77" s="48">
        <f>ABS(SUMPRODUCT(dados!O:O,-(dados!$B:$B=$B77),-(dados!$C:$C&lt;=$C77)))</f>
        <v>172.00205</v>
      </c>
      <c r="P77" s="48">
        <f>ABS(SUMPRODUCT(dados!P:P,-(dados!$B:$B=$B77),-(dados!$C:$C&lt;=$C77)))</f>
        <v>211.11265</v>
      </c>
      <c r="Q77" s="48">
        <f>ABS(SUMPRODUCT(dados!Q:Q,-(dados!$B:$B=$B77),-(dados!$C:$C&lt;=$C77)))</f>
        <v>172.96760999999998</v>
      </c>
      <c r="R77" s="48">
        <f>ABS(SUMPRODUCT(dados!R:R,-(dados!$B:$B=$B77),-(dados!$C:$C&lt;=$C77)))</f>
        <v>168.58566000000002</v>
      </c>
      <c r="S77" s="48">
        <f>ABS(SUMPRODUCT(dados!S:S,-(dados!$B:$B=$B77),-(dados!$C:$C&lt;=$C77)))</f>
        <v>165.59213</v>
      </c>
      <c r="T77" s="48">
        <f>ABS(SUMPRODUCT(dados!T:T,-(dados!$B:$B=$B77),-(dados!$C:$C&lt;=$C77)))</f>
        <v>295.08429999999998</v>
      </c>
      <c r="U77" s="48">
        <f>ABS(SUMPRODUCT(dados!U:U,-(dados!$B:$B=$B77),-(dados!$C:$C&lt;=$C77)))</f>
        <v>183.53631000000001</v>
      </c>
    </row>
    <row r="78" spans="1:21" x14ac:dyDescent="0.25">
      <c r="A78" t="str">
        <f>dados!A78</f>
        <v>20233</v>
      </c>
      <c r="B78">
        <f>dados!B78</f>
        <v>2023</v>
      </c>
      <c r="C78">
        <f>dados!C78</f>
        <v>3</v>
      </c>
      <c r="D78" s="14">
        <f>dados!D78</f>
        <v>44986</v>
      </c>
      <c r="E78" s="48">
        <f>ABS(SUMPRODUCT(dados!E:E,-(dados!$B:$B=$B78),-(dados!$C:$C&lt;=$C78)))</f>
        <v>306.00018999999998</v>
      </c>
      <c r="F78" s="48">
        <f>ABS(SUMPRODUCT(dados!F:F,-(dados!$B:$B=$B78),-(dados!$C:$C&lt;=$C78)))</f>
        <v>296.94312000000002</v>
      </c>
      <c r="G78" s="48">
        <f>ABS(SUMPRODUCT(dados!G:G,-(dados!$B:$B=$B78),-(dados!$C:$C&lt;=$C78)))</f>
        <v>303.01675999999998</v>
      </c>
      <c r="H78" s="48">
        <f>ABS(SUMPRODUCT(dados!H:H,-(dados!$B:$B=$B78),-(dados!$C:$C&lt;=$C78)))</f>
        <v>290.35149000000001</v>
      </c>
      <c r="I78" s="48">
        <f>ABS(SUMPRODUCT(dados!I:I,-(dados!$B:$B=$B78),-(dados!$C:$C&lt;=$C78)))</f>
        <v>282.60984000000002</v>
      </c>
      <c r="J78" s="48">
        <f>ABS(SUMPRODUCT(dados!J:J,-(dados!$B:$B=$B78),-(dados!$C:$C&lt;=$C78)))</f>
        <v>310.82787000000002</v>
      </c>
      <c r="K78" s="48">
        <f>ABS(SUMPRODUCT(dados!K:K,-(dados!$B:$B=$B78),-(dados!$C:$C&lt;=$C78)))</f>
        <v>0</v>
      </c>
      <c r="L78" s="48">
        <f>ABS(SUMPRODUCT(dados!L:L,-(dados!$B:$B=$B78),-(dados!$C:$C&lt;=$C78)))</f>
        <v>326.64421000000004</v>
      </c>
      <c r="M78" s="48">
        <f>ABS(SUMPRODUCT(dados!M:M,-(dados!$B:$B=$B78),-(dados!$C:$C&lt;=$C78)))</f>
        <v>265.37027</v>
      </c>
      <c r="N78" s="48">
        <f>ABS(SUMPRODUCT(dados!N:N,-(dados!$B:$B=$B78),-(dados!$C:$C&lt;=$C78)))</f>
        <v>246.62549000000001</v>
      </c>
      <c r="O78" s="48">
        <f>ABS(SUMPRODUCT(dados!O:O,-(dados!$B:$B=$B78),-(dados!$C:$C&lt;=$C78)))</f>
        <v>268.33497999999997</v>
      </c>
      <c r="P78" s="48">
        <f>ABS(SUMPRODUCT(dados!P:P,-(dados!$B:$B=$B78),-(dados!$C:$C&lt;=$C78)))</f>
        <v>333.95566000000002</v>
      </c>
      <c r="Q78" s="48">
        <f>ABS(SUMPRODUCT(dados!Q:Q,-(dados!$B:$B=$B78),-(dados!$C:$C&lt;=$C78)))</f>
        <v>260.65978999999999</v>
      </c>
      <c r="R78" s="48">
        <f>ABS(SUMPRODUCT(dados!R:R,-(dados!$B:$B=$B78),-(dados!$C:$C&lt;=$C78)))</f>
        <v>272.13730000000004</v>
      </c>
      <c r="S78" s="48">
        <f>ABS(SUMPRODUCT(dados!S:S,-(dados!$B:$B=$B78),-(dados!$C:$C&lt;=$C78)))</f>
        <v>265.91048000000001</v>
      </c>
      <c r="T78" s="48">
        <f>ABS(SUMPRODUCT(dados!T:T,-(dados!$B:$B=$B78),-(dados!$C:$C&lt;=$C78)))</f>
        <v>484.63119999999998</v>
      </c>
      <c r="U78" s="48">
        <f>ABS(SUMPRODUCT(dados!U:U,-(dados!$B:$B=$B78),-(dados!$C:$C&lt;=$C78)))</f>
        <v>284.43236000000002</v>
      </c>
    </row>
    <row r="79" spans="1:21" x14ac:dyDescent="0.25">
      <c r="A79" t="str">
        <f>dados!A79</f>
        <v>20234</v>
      </c>
      <c r="B79">
        <f>dados!B79</f>
        <v>2023</v>
      </c>
      <c r="C79">
        <f>dados!C79</f>
        <v>4</v>
      </c>
      <c r="D79" s="14">
        <f>dados!D79</f>
        <v>45017</v>
      </c>
      <c r="E79" s="48">
        <f>ABS(SUMPRODUCT(dados!E:E,-(dados!$B:$B=$B79),-(dados!$C:$C&lt;=$C79)))</f>
        <v>407.82056999999998</v>
      </c>
      <c r="F79" s="48">
        <f>ABS(SUMPRODUCT(dados!F:F,-(dados!$B:$B=$B79),-(dados!$C:$C&lt;=$C79)))</f>
        <v>393.90325000000001</v>
      </c>
      <c r="G79" s="48">
        <f>ABS(SUMPRODUCT(dados!G:G,-(dados!$B:$B=$B79),-(dados!$C:$C&lt;=$C79)))</f>
        <v>401.74808999999999</v>
      </c>
      <c r="H79" s="48">
        <f>ABS(SUMPRODUCT(dados!H:H,-(dados!$B:$B=$B79),-(dados!$C:$C&lt;=$C79)))</f>
        <v>385.38936999999999</v>
      </c>
      <c r="I79" s="48">
        <f>ABS(SUMPRODUCT(dados!I:I,-(dados!$B:$B=$B79),-(dados!$C:$C&lt;=$C79)))</f>
        <v>376.29374000000001</v>
      </c>
      <c r="J79" s="48">
        <f>ABS(SUMPRODUCT(dados!J:J,-(dados!$B:$B=$B79),-(dados!$C:$C&lt;=$C79)))</f>
        <v>410.98886000000005</v>
      </c>
      <c r="K79" s="48">
        <f>ABS(SUMPRODUCT(dados!K:K,-(dados!$B:$B=$B79),-(dados!$C:$C&lt;=$C79)))</f>
        <v>0</v>
      </c>
      <c r="L79" s="48">
        <f>ABS(SUMPRODUCT(dados!L:L,-(dados!$B:$B=$B79),-(dados!$C:$C&lt;=$C79)))</f>
        <v>435.25768000000005</v>
      </c>
      <c r="M79" s="48">
        <f>ABS(SUMPRODUCT(dados!M:M,-(dados!$B:$B=$B79),-(dados!$C:$C&lt;=$C79)))</f>
        <v>338.31151999999997</v>
      </c>
      <c r="N79" s="48">
        <f>ABS(SUMPRODUCT(dados!N:N,-(dados!$B:$B=$B79),-(dados!$C:$C&lt;=$C79)))</f>
        <v>331.20229</v>
      </c>
      <c r="O79" s="48">
        <f>ABS(SUMPRODUCT(dados!O:O,-(dados!$B:$B=$B79),-(dados!$C:$C&lt;=$C79)))</f>
        <v>364.28512000000001</v>
      </c>
      <c r="P79" s="48">
        <f>ABS(SUMPRODUCT(dados!P:P,-(dados!$B:$B=$B79),-(dados!$C:$C&lt;=$C79)))</f>
        <v>448.75413000000003</v>
      </c>
      <c r="Q79" s="48">
        <f>ABS(SUMPRODUCT(dados!Q:Q,-(dados!$B:$B=$B79),-(dados!$C:$C&lt;=$C79)))</f>
        <v>351.20418000000001</v>
      </c>
      <c r="R79" s="48">
        <f>ABS(SUMPRODUCT(dados!R:R,-(dados!$B:$B=$B79),-(dados!$C:$C&lt;=$C79)))</f>
        <v>356.25230000000005</v>
      </c>
      <c r="S79" s="48">
        <f>ABS(SUMPRODUCT(dados!S:S,-(dados!$B:$B=$B79),-(dados!$C:$C&lt;=$C79)))</f>
        <v>340.35059999999999</v>
      </c>
      <c r="T79" s="48">
        <f>ABS(SUMPRODUCT(dados!T:T,-(dados!$B:$B=$B79),-(dados!$C:$C&lt;=$C79)))</f>
        <v>625.44965999999999</v>
      </c>
      <c r="U79" s="48">
        <f>ABS(SUMPRODUCT(dados!U:U,-(dados!$B:$B=$B79),-(dados!$C:$C&lt;=$C79)))</f>
        <v>375.94104000000004</v>
      </c>
    </row>
    <row r="80" spans="1:21" x14ac:dyDescent="0.25">
      <c r="A80" t="str">
        <f>dados!A80</f>
        <v>20235</v>
      </c>
      <c r="B80">
        <f>dados!B80</f>
        <v>2023</v>
      </c>
      <c r="C80">
        <f>dados!C80</f>
        <v>5</v>
      </c>
      <c r="D80" s="14">
        <f>dados!D80</f>
        <v>45047</v>
      </c>
      <c r="E80" s="48">
        <f>ABS(SUMPRODUCT(dados!E:E,-(dados!$B:$B=$B80),-(dados!$C:$C&lt;=$C80)))</f>
        <v>508.22325999999998</v>
      </c>
      <c r="F80" s="48">
        <f>ABS(SUMPRODUCT(dados!F:F,-(dados!$B:$B=$B80),-(dados!$C:$C&lt;=$C80)))</f>
        <v>493.03588999999999</v>
      </c>
      <c r="G80" s="48">
        <f>ABS(SUMPRODUCT(dados!G:G,-(dados!$B:$B=$B80),-(dados!$C:$C&lt;=$C80)))</f>
        <v>504.38621999999998</v>
      </c>
      <c r="H80" s="48">
        <f>ABS(SUMPRODUCT(dados!H:H,-(dados!$B:$B=$B80),-(dados!$C:$C&lt;=$C80)))</f>
        <v>480.71755999999999</v>
      </c>
      <c r="I80" s="48">
        <f>ABS(SUMPRODUCT(dados!I:I,-(dados!$B:$B=$B80),-(dados!$C:$C&lt;=$C80)))</f>
        <v>473.48486000000003</v>
      </c>
      <c r="J80" s="48">
        <f>ABS(SUMPRODUCT(dados!J:J,-(dados!$B:$B=$B80),-(dados!$C:$C&lt;=$C80)))</f>
        <v>509.46116000000006</v>
      </c>
      <c r="K80" s="48">
        <f>ABS(SUMPRODUCT(dados!K:K,-(dados!$B:$B=$B80),-(dados!$C:$C&lt;=$C80)))</f>
        <v>0</v>
      </c>
      <c r="L80" s="48">
        <f>ABS(SUMPRODUCT(dados!L:L,-(dados!$B:$B=$B80),-(dados!$C:$C&lt;=$C80)))</f>
        <v>532.19774000000007</v>
      </c>
      <c r="M80" s="48">
        <f>ABS(SUMPRODUCT(dados!M:M,-(dados!$B:$B=$B80),-(dados!$C:$C&lt;=$C80)))</f>
        <v>407.72618</v>
      </c>
      <c r="N80" s="48">
        <f>ABS(SUMPRODUCT(dados!N:N,-(dados!$B:$B=$B80),-(dados!$C:$C&lt;=$C80)))</f>
        <v>408.16964999999999</v>
      </c>
      <c r="O80" s="48">
        <f>ABS(SUMPRODUCT(dados!O:O,-(dados!$B:$B=$B80),-(dados!$C:$C&lt;=$C80)))</f>
        <v>458.66593</v>
      </c>
      <c r="P80" s="48">
        <f>ABS(SUMPRODUCT(dados!P:P,-(dados!$B:$B=$B80),-(dados!$C:$C&lt;=$C80)))</f>
        <v>573.1694</v>
      </c>
      <c r="Q80" s="48">
        <f>ABS(SUMPRODUCT(dados!Q:Q,-(dados!$B:$B=$B80),-(dados!$C:$C&lt;=$C80)))</f>
        <v>452.99743999999998</v>
      </c>
      <c r="R80" s="48">
        <f>ABS(SUMPRODUCT(dados!R:R,-(dados!$B:$B=$B80),-(dados!$C:$C&lt;=$C80)))</f>
        <v>449.26158000000004</v>
      </c>
      <c r="S80" s="48">
        <f>ABS(SUMPRODUCT(dados!S:S,-(dados!$B:$B=$B80),-(dados!$C:$C&lt;=$C80)))</f>
        <v>444.75903</v>
      </c>
      <c r="T80" s="48">
        <f>ABS(SUMPRODUCT(dados!T:T,-(dados!$B:$B=$B80),-(dados!$C:$C&lt;=$C80)))</f>
        <v>795.55546000000004</v>
      </c>
      <c r="U80" s="48">
        <f>ABS(SUMPRODUCT(dados!U:U,-(dados!$B:$B=$B80),-(dados!$C:$C&lt;=$C80)))</f>
        <v>476.88113000000004</v>
      </c>
    </row>
    <row r="81" spans="1:21" x14ac:dyDescent="0.25">
      <c r="A81" t="str">
        <f>dados!A81</f>
        <v>20236</v>
      </c>
      <c r="B81">
        <f>dados!B81</f>
        <v>2023</v>
      </c>
      <c r="C81">
        <f>dados!C81</f>
        <v>6</v>
      </c>
      <c r="D81" s="14">
        <f>dados!D81</f>
        <v>45078</v>
      </c>
      <c r="E81" s="48">
        <f>ABS(SUMPRODUCT(dados!E:E,-(dados!$B:$B=$B81),-(dados!$C:$C&lt;=$C81)))</f>
        <v>611.63598000000002</v>
      </c>
      <c r="F81" s="48">
        <f>ABS(SUMPRODUCT(dados!F:F,-(dados!$B:$B=$B81),-(dados!$C:$C&lt;=$C81)))</f>
        <v>594.63147000000004</v>
      </c>
      <c r="G81" s="48">
        <f>ABS(SUMPRODUCT(dados!G:G,-(dados!$B:$B=$B81),-(dados!$C:$C&lt;=$C81)))</f>
        <v>609.43815999999993</v>
      </c>
      <c r="H81" s="48">
        <f>ABS(SUMPRODUCT(dados!H:H,-(dados!$B:$B=$B81),-(dados!$C:$C&lt;=$C81)))</f>
        <v>578.56200999999999</v>
      </c>
      <c r="I81" s="48">
        <f>ABS(SUMPRODUCT(dados!I:I,-(dados!$B:$B=$B81),-(dados!$C:$C&lt;=$C81)))</f>
        <v>558.79890999999998</v>
      </c>
      <c r="J81" s="48">
        <f>ABS(SUMPRODUCT(dados!J:J,-(dados!$B:$B=$B81),-(dados!$C:$C&lt;=$C81)))</f>
        <v>593.09593000000007</v>
      </c>
      <c r="K81" s="48">
        <f>ABS(SUMPRODUCT(dados!K:K,-(dados!$B:$B=$B81),-(dados!$C:$C&lt;=$C81)))</f>
        <v>0</v>
      </c>
      <c r="L81" s="48">
        <f>ABS(SUMPRODUCT(dados!L:L,-(dados!$B:$B=$B81),-(dados!$C:$C&lt;=$C81)))</f>
        <v>645.94105000000002</v>
      </c>
      <c r="M81" s="48">
        <f>ABS(SUMPRODUCT(dados!M:M,-(dados!$B:$B=$B81),-(dados!$C:$C&lt;=$C81)))</f>
        <v>496.72055999999998</v>
      </c>
      <c r="N81" s="48">
        <f>ABS(SUMPRODUCT(dados!N:N,-(dados!$B:$B=$B81),-(dados!$C:$C&lt;=$C81)))</f>
        <v>469.90267999999998</v>
      </c>
      <c r="O81" s="48">
        <f>ABS(SUMPRODUCT(dados!O:O,-(dados!$B:$B=$B81),-(dados!$C:$C&lt;=$C81)))</f>
        <v>548.28386999999998</v>
      </c>
      <c r="P81" s="48">
        <f>ABS(SUMPRODUCT(dados!P:P,-(dados!$B:$B=$B81),-(dados!$C:$C&lt;=$C81)))</f>
        <v>696.78215</v>
      </c>
      <c r="Q81" s="48">
        <f>ABS(SUMPRODUCT(dados!Q:Q,-(dados!$B:$B=$B81),-(dados!$C:$C&lt;=$C81)))</f>
        <v>548.82727999999997</v>
      </c>
      <c r="R81" s="48">
        <f>ABS(SUMPRODUCT(dados!R:R,-(dados!$B:$B=$B81),-(dados!$C:$C&lt;=$C81)))</f>
        <v>541.37464999999997</v>
      </c>
      <c r="S81" s="48">
        <f>ABS(SUMPRODUCT(dados!S:S,-(dados!$B:$B=$B81),-(dados!$C:$C&lt;=$C81)))</f>
        <v>541.57206999999994</v>
      </c>
      <c r="T81" s="48">
        <f>ABS(SUMPRODUCT(dados!T:T,-(dados!$B:$B=$B81),-(dados!$C:$C&lt;=$C81)))</f>
        <v>964.52893000000006</v>
      </c>
      <c r="U81" s="48">
        <f>ABS(SUMPRODUCT(dados!U:U,-(dados!$B:$B=$B81),-(dados!$C:$C&lt;=$C81)))</f>
        <v>578.09414000000004</v>
      </c>
    </row>
    <row r="82" spans="1:21" x14ac:dyDescent="0.25">
      <c r="A82" t="str">
        <f>dados!A82</f>
        <v>20237</v>
      </c>
      <c r="B82">
        <f>dados!B82</f>
        <v>2023</v>
      </c>
      <c r="C82">
        <f>dados!C82</f>
        <v>7</v>
      </c>
      <c r="D82" s="14">
        <f>dados!D82</f>
        <v>45108</v>
      </c>
      <c r="E82" s="48">
        <f>ABS(SUMPRODUCT(dados!E:E,-(dados!$B:$B=$B82),-(dados!$C:$C&lt;=$C82)))</f>
        <v>714.21536000000003</v>
      </c>
      <c r="F82" s="48">
        <f>ABS(SUMPRODUCT(dados!F:F,-(dados!$B:$B=$B82),-(dados!$C:$C&lt;=$C82)))</f>
        <v>700.76839000000007</v>
      </c>
      <c r="G82" s="48">
        <f>ABS(SUMPRODUCT(dados!G:G,-(dados!$B:$B=$B82),-(dados!$C:$C&lt;=$C82)))</f>
        <v>723.15797999999995</v>
      </c>
      <c r="H82" s="48">
        <f>ABS(SUMPRODUCT(dados!H:H,-(dados!$B:$B=$B82),-(dados!$C:$C&lt;=$C82)))</f>
        <v>676.46933999999999</v>
      </c>
      <c r="I82" s="48">
        <f>ABS(SUMPRODUCT(dados!I:I,-(dados!$B:$B=$B82),-(dados!$C:$C&lt;=$C82)))</f>
        <v>658.25479999999993</v>
      </c>
      <c r="J82" s="48">
        <f>ABS(SUMPRODUCT(dados!J:J,-(dados!$B:$B=$B82),-(dados!$C:$C&lt;=$C82)))</f>
        <v>679.12331000000006</v>
      </c>
      <c r="K82" s="48">
        <f>ABS(SUMPRODUCT(dados!K:K,-(dados!$B:$B=$B82),-(dados!$C:$C&lt;=$C82)))</f>
        <v>0</v>
      </c>
      <c r="L82" s="48">
        <f>ABS(SUMPRODUCT(dados!L:L,-(dados!$B:$B=$B82),-(dados!$C:$C&lt;=$C82)))</f>
        <v>750.82636000000002</v>
      </c>
      <c r="M82" s="48">
        <f>ABS(SUMPRODUCT(dados!M:M,-(dados!$B:$B=$B82),-(dados!$C:$C&lt;=$C82)))</f>
        <v>601.29525999999998</v>
      </c>
      <c r="N82" s="48">
        <f>ABS(SUMPRODUCT(dados!N:N,-(dados!$B:$B=$B82),-(dados!$C:$C&lt;=$C82)))</f>
        <v>546.27715999999998</v>
      </c>
      <c r="O82" s="48">
        <f>ABS(SUMPRODUCT(dados!O:O,-(dados!$B:$B=$B82),-(dados!$C:$C&lt;=$C82)))</f>
        <v>636.97586999999999</v>
      </c>
      <c r="P82" s="48">
        <f>ABS(SUMPRODUCT(dados!P:P,-(dados!$B:$B=$B82),-(dados!$C:$C&lt;=$C82)))</f>
        <v>821.96586000000002</v>
      </c>
      <c r="Q82" s="48">
        <f>ABS(SUMPRODUCT(dados!Q:Q,-(dados!$B:$B=$B82),-(dados!$C:$C&lt;=$C82)))</f>
        <v>648.72239999999999</v>
      </c>
      <c r="R82" s="48">
        <f>ABS(SUMPRODUCT(dados!R:R,-(dados!$B:$B=$B82),-(dados!$C:$C&lt;=$C82)))</f>
        <v>626.30418999999995</v>
      </c>
      <c r="S82" s="48">
        <f>ABS(SUMPRODUCT(dados!S:S,-(dados!$B:$B=$B82),-(dados!$C:$C&lt;=$C82)))</f>
        <v>615.81214999999997</v>
      </c>
      <c r="T82" s="48">
        <f>ABS(SUMPRODUCT(dados!T:T,-(dados!$B:$B=$B82),-(dados!$C:$C&lt;=$C82)))</f>
        <v>1113.8569400000001</v>
      </c>
      <c r="U82" s="48">
        <f>ABS(SUMPRODUCT(dados!U:U,-(dados!$B:$B=$B82),-(dados!$C:$C&lt;=$C82)))</f>
        <v>682.70908000000009</v>
      </c>
    </row>
    <row r="83" spans="1:21" x14ac:dyDescent="0.25">
      <c r="A83" t="str">
        <f>dados!A83</f>
        <v>20238</v>
      </c>
      <c r="B83">
        <f>dados!B83</f>
        <v>2023</v>
      </c>
      <c r="C83">
        <f>dados!C83</f>
        <v>8</v>
      </c>
      <c r="D83" s="14">
        <f>dados!D83</f>
        <v>45139</v>
      </c>
      <c r="E83" s="48">
        <f>ABS(SUMPRODUCT(dados!E:E,-(dados!$B:$B=$B83),-(dados!$C:$C&lt;=$C83)))</f>
        <v>818.51665000000003</v>
      </c>
      <c r="F83" s="48">
        <f>ABS(SUMPRODUCT(dados!F:F,-(dados!$B:$B=$B83),-(dados!$C:$C&lt;=$C83)))</f>
        <v>810.21249000000012</v>
      </c>
      <c r="G83" s="48">
        <f>ABS(SUMPRODUCT(dados!G:G,-(dados!$B:$B=$B83),-(dados!$C:$C&lt;=$C83)))</f>
        <v>834.00423999999998</v>
      </c>
      <c r="H83" s="48">
        <f>ABS(SUMPRODUCT(dados!H:H,-(dados!$B:$B=$B83),-(dados!$C:$C&lt;=$C83)))</f>
        <v>784.39168999999993</v>
      </c>
      <c r="I83" s="48">
        <f>ABS(SUMPRODUCT(dados!I:I,-(dados!$B:$B=$B83),-(dados!$C:$C&lt;=$C83)))</f>
        <v>760.93326999999999</v>
      </c>
      <c r="J83" s="48">
        <f>ABS(SUMPRODUCT(dados!J:J,-(dados!$B:$B=$B83),-(dados!$C:$C&lt;=$C83)))</f>
        <v>782.2387500000001</v>
      </c>
      <c r="K83" s="48">
        <f>ABS(SUMPRODUCT(dados!K:K,-(dados!$B:$B=$B83),-(dados!$C:$C&lt;=$C83)))</f>
        <v>0</v>
      </c>
      <c r="L83" s="48">
        <f>ABS(SUMPRODUCT(dados!L:L,-(dados!$B:$B=$B83),-(dados!$C:$C&lt;=$C83)))</f>
        <v>871.03744000000006</v>
      </c>
      <c r="M83" s="48">
        <f>ABS(SUMPRODUCT(dados!M:M,-(dados!$B:$B=$B83),-(dados!$C:$C&lt;=$C83)))</f>
        <v>719.19421999999997</v>
      </c>
      <c r="N83" s="48">
        <f>ABS(SUMPRODUCT(dados!N:N,-(dados!$B:$B=$B83),-(dados!$C:$C&lt;=$C83)))</f>
        <v>625.41683</v>
      </c>
      <c r="O83" s="48">
        <f>ABS(SUMPRODUCT(dados!O:O,-(dados!$B:$B=$B83),-(dados!$C:$C&lt;=$C83)))</f>
        <v>731.11519999999996</v>
      </c>
      <c r="P83" s="48">
        <f>ABS(SUMPRODUCT(dados!P:P,-(dados!$B:$B=$B83),-(dados!$C:$C&lt;=$C83)))</f>
        <v>946.81268</v>
      </c>
      <c r="Q83" s="48">
        <f>ABS(SUMPRODUCT(dados!Q:Q,-(dados!$B:$B=$B83),-(dados!$C:$C&lt;=$C83)))</f>
        <v>746.34658000000002</v>
      </c>
      <c r="R83" s="48">
        <f>ABS(SUMPRODUCT(dados!R:R,-(dados!$B:$B=$B83),-(dados!$C:$C&lt;=$C83)))</f>
        <v>724.96882999999991</v>
      </c>
      <c r="S83" s="48">
        <f>ABS(SUMPRODUCT(dados!S:S,-(dados!$B:$B=$B83),-(dados!$C:$C&lt;=$C83)))</f>
        <v>721.70196999999996</v>
      </c>
      <c r="T83" s="48">
        <f>ABS(SUMPRODUCT(dados!T:T,-(dados!$B:$B=$B83),-(dados!$C:$C&lt;=$C83)))</f>
        <v>1262.2733400000002</v>
      </c>
      <c r="U83" s="48">
        <f>ABS(SUMPRODUCT(dados!U:U,-(dados!$B:$B=$B83),-(dados!$C:$C&lt;=$C83)))</f>
        <v>787.89315000000011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showGridLines="0" workbookViewId="0">
      <selection activeCell="L3" sqref="L3:N3"/>
    </sheetView>
  </sheetViews>
  <sheetFormatPr defaultRowHeight="15.75" x14ac:dyDescent="0.25"/>
  <cols>
    <col min="1" max="1" width="46" style="60" customWidth="1"/>
    <col min="2" max="2" width="14.5703125" style="5" customWidth="1"/>
    <col min="3" max="3" width="14.85546875" style="5" customWidth="1"/>
    <col min="4" max="4" width="15.85546875" style="5" customWidth="1"/>
    <col min="5" max="5" width="15.28515625" style="5" customWidth="1"/>
    <col min="6" max="6" width="15.7109375" style="5" customWidth="1"/>
    <col min="7" max="7" width="18" style="5" customWidth="1"/>
    <col min="8" max="8" width="19.42578125" style="5" customWidth="1"/>
    <col min="9" max="9" width="18.5703125" style="5" customWidth="1"/>
    <col min="10" max="10" width="2.28515625" style="5" customWidth="1"/>
    <col min="11" max="11" width="1.42578125" style="5" customWidth="1"/>
    <col min="12" max="12" width="9.140625" style="5"/>
    <col min="13" max="13" width="12.42578125" style="5" bestFit="1" customWidth="1"/>
    <col min="14" max="14" width="11.5703125" style="5" customWidth="1"/>
    <col min="15" max="15" width="9.140625" style="5"/>
    <col min="16" max="16" width="12.42578125" style="5" bestFit="1" customWidth="1"/>
    <col min="17" max="17" width="9.140625" style="5"/>
    <col min="18" max="18" width="9.5703125" style="5" bestFit="1" customWidth="1"/>
    <col min="19" max="19" width="12.42578125" style="5" bestFit="1" customWidth="1"/>
    <col min="20" max="21" width="9.140625" style="5"/>
    <col min="22" max="22" width="12.42578125" style="5" bestFit="1" customWidth="1"/>
    <col min="23" max="16384" width="9.140625" style="5"/>
  </cols>
  <sheetData>
    <row r="1" spans="1:14" ht="24" thickBot="1" x14ac:dyDescent="0.4">
      <c r="A1" s="120" t="s">
        <v>36</v>
      </c>
      <c r="B1" s="120"/>
      <c r="C1" s="120"/>
      <c r="D1" s="120"/>
      <c r="E1" s="120"/>
      <c r="F1" s="120"/>
      <c r="G1" s="120"/>
      <c r="H1" s="120"/>
      <c r="I1" s="120"/>
      <c r="L1"/>
      <c r="M1"/>
      <c r="N1"/>
    </row>
    <row r="2" spans="1:14" ht="16.5" thickBot="1" x14ac:dyDescent="0.3">
      <c r="A2" s="68"/>
      <c r="B2" s="69"/>
      <c r="C2" s="69"/>
      <c r="D2" s="69"/>
      <c r="E2" s="69"/>
      <c r="F2" s="69"/>
      <c r="G2" s="69"/>
      <c r="H2" s="69"/>
      <c r="I2" s="69"/>
      <c r="L2" s="114" t="s">
        <v>12</v>
      </c>
      <c r="M2" s="115"/>
      <c r="N2" s="116"/>
    </row>
    <row r="3" spans="1:14" ht="19.5" thickBot="1" x14ac:dyDescent="0.3">
      <c r="A3" s="121"/>
      <c r="B3" s="122"/>
      <c r="C3" s="122"/>
      <c r="D3" s="122"/>
      <c r="E3" s="122"/>
      <c r="F3" s="122"/>
      <c r="G3" s="122"/>
      <c r="H3" s="122"/>
      <c r="I3" s="123"/>
      <c r="L3" s="117">
        <v>45139</v>
      </c>
      <c r="M3" s="118"/>
      <c r="N3" s="119"/>
    </row>
    <row r="4" spans="1:14" ht="24" customHeight="1" x14ac:dyDescent="0.25">
      <c r="A4" s="124" t="s">
        <v>39</v>
      </c>
      <c r="B4" s="126" t="s">
        <v>42</v>
      </c>
      <c r="C4" s="127"/>
      <c r="D4" s="127"/>
      <c r="E4" s="127"/>
      <c r="F4" s="128"/>
      <c r="G4" s="126" t="s">
        <v>2</v>
      </c>
      <c r="H4" s="127"/>
      <c r="I4" s="128"/>
    </row>
    <row r="5" spans="1:14" ht="60.75" customHeight="1" x14ac:dyDescent="0.25">
      <c r="A5" s="125"/>
      <c r="B5" s="70" t="s">
        <v>7</v>
      </c>
      <c r="C5" s="70" t="s">
        <v>8</v>
      </c>
      <c r="D5" s="70" t="s">
        <v>9</v>
      </c>
      <c r="E5" s="70" t="s">
        <v>10</v>
      </c>
      <c r="F5" s="70" t="s">
        <v>11</v>
      </c>
      <c r="G5" s="129" t="str">
        <f>CONCATENATE("Variação do mês de ",(TEXT(B6,"MMMM"))&amp;" de "&amp;YEAR(B6)&amp;" /  "&amp;"mês anterior: "&amp;(TEXT(B6-1,"MMMM")))</f>
        <v>Variação do mês de agosto de 2023 /  mês anterior: julho</v>
      </c>
      <c r="H5" s="129" t="str">
        <f>CONCATENATE("Variação do mês de "&amp;(TEXT(B6,"MMMM")&amp;" de "&amp;YEAR(B6))&amp;" / ",(TEXT(B6,"MMMM")&amp;" do ano anterior"))</f>
        <v>Variação do mês de agosto de 2023 / agosto do ano anterior</v>
      </c>
      <c r="I5" s="129" t="str">
        <f>CONCATENATE("Variação de "&amp;YEAR(L3)&amp;" acumulado até "&amp;(TEXT(L3,"MMMM"))&amp;" / ano anterior "&amp;"acumulado até "&amp;(TEXT(L3,"MMMM")))</f>
        <v>Variação de 2023 acumulado até agosto / ano anterior acumulado até agosto</v>
      </c>
    </row>
    <row r="6" spans="1:14" ht="72" customHeight="1" thickBot="1" x14ac:dyDescent="0.3">
      <c r="A6" s="125"/>
      <c r="B6" s="71">
        <f>L3</f>
        <v>45139</v>
      </c>
      <c r="C6" s="71">
        <f>EDATE(L3,-1)</f>
        <v>45108</v>
      </c>
      <c r="D6" s="71">
        <f>EDATE(L3,-12)</f>
        <v>44774</v>
      </c>
      <c r="E6" s="72" t="str">
        <f>CONCATENATE("Ano de "&amp;YEAR(B6)&amp;" acumulado até "&amp;(TEXT(B6,"MMMM")))</f>
        <v>Ano de 2023 acumulado até agosto</v>
      </c>
      <c r="F6" s="72" t="str">
        <f>CONCATENATE("Ano de "&amp;(YEAR(D6)&amp;" acumulado até "&amp;(TEXT(D6,"MMMM"))))</f>
        <v>Ano de 2022 acumulado até agosto</v>
      </c>
      <c r="G6" s="130"/>
      <c r="H6" s="130"/>
      <c r="I6" s="130"/>
    </row>
    <row r="7" spans="1:14" ht="42" customHeight="1" x14ac:dyDescent="0.25">
      <c r="A7" s="55" t="s">
        <v>19</v>
      </c>
      <c r="B7" s="51">
        <f>VLOOKUP(YEAR($L$3)&amp;MONTH($L$3),dados!$A$4:$U$13934,5,FALSE)</f>
        <v>104.30128999999999</v>
      </c>
      <c r="C7" s="51">
        <f>IFERROR(VLOOKUP(YEAR($C$6)&amp;MONTH($C$6),dados!$A$4:$U$13934,5,FALSE),"-")</f>
        <v>102.57938</v>
      </c>
      <c r="D7" s="51">
        <f>IFERROR(VLOOKUP(YEAR($D$6)&amp;MONTH($D$6),dados!$A$4:$U$13934,5,FALSE),"-")</f>
        <v>100.45251</v>
      </c>
      <c r="E7" s="36">
        <f>VLOOKUP(YEAR($L$3)&amp;MONTH($L$3),dados_acumulados!$A$4:$AE$14772,5,FALSE)</f>
        <v>818.51665000000003</v>
      </c>
      <c r="F7" s="36">
        <f>IFERROR(VLOOKUP(YEAR($D$6)&amp;MONTH($D$6),dados_acumulados!$A$2:$AE$14772,5,FALSE),"-")</f>
        <v>786.43938999999989</v>
      </c>
      <c r="G7" s="37">
        <f t="shared" ref="G7:G8" si="0">IFERROR((B7-C7)/C7 * 100,"-")</f>
        <v>1.6786122123179086</v>
      </c>
      <c r="H7" s="37">
        <f t="shared" ref="H7:H8" si="1">IFERROR((B7-D7)/D7*100,"-")</f>
        <v>3.8314423402660531</v>
      </c>
      <c r="I7" s="38">
        <f t="shared" ref="I7:I8" si="2">IFERROR((E7-F7)/F7 *100,"-")</f>
        <v>4.0787962057699252</v>
      </c>
    </row>
    <row r="8" spans="1:14" ht="44.25" customHeight="1" x14ac:dyDescent="0.25">
      <c r="A8" s="73" t="s">
        <v>20</v>
      </c>
      <c r="B8" s="74">
        <f>VLOOKUP(YEAR($L$3)&amp;MONTH($L$3),dados!$A$4:$U$13934,6,FALSE)</f>
        <v>109.44410000000001</v>
      </c>
      <c r="C8" s="74">
        <f>IFERROR(VLOOKUP(YEAR($C$6)&amp;MONTH($C$6),dados!$A$4:$U$13934,6,FALSE),"-")</f>
        <v>106.13692</v>
      </c>
      <c r="D8" s="74">
        <f>IFERROR(VLOOKUP(YEAR($D$6)&amp;MONTH($D$6),dados!$A$4:$U$13934,6,FALSE),"-")</f>
        <v>105.29613999999999</v>
      </c>
      <c r="E8" s="75">
        <f>VLOOKUP(YEAR($L$3)&amp;MONTH($L$3),dados_acumulados!$A$4:$AE$14772,6,FALSE)</f>
        <v>810.21249000000012</v>
      </c>
      <c r="F8" s="75">
        <f>IFERROR(VLOOKUP(YEAR($D$6)&amp;MONTH($D$6),dados_acumulados!$A$2:$AE$14772,6,FALSE),"-")</f>
        <v>778.35416000000009</v>
      </c>
      <c r="G8" s="76">
        <f t="shared" si="0"/>
        <v>3.1159562572571375</v>
      </c>
      <c r="H8" s="76">
        <f t="shared" si="1"/>
        <v>3.9393276904547614</v>
      </c>
      <c r="I8" s="77">
        <f t="shared" si="2"/>
        <v>4.0930378017122715</v>
      </c>
    </row>
    <row r="9" spans="1:14" ht="30" customHeight="1" x14ac:dyDescent="0.25">
      <c r="A9" s="56" t="s">
        <v>14</v>
      </c>
      <c r="B9" s="53">
        <f>VLOOKUP(YEAR($L$3)&amp;MONTH($L$3),dados!$A$4:$U$13934,7,FALSE)</f>
        <v>110.84626</v>
      </c>
      <c r="C9" s="53">
        <f>IFERROR(VLOOKUP(YEAR($C$6)&amp;MONTH($C$6),dados!$A$4:$U$13934,7,FALSE),"-")</f>
        <v>113.71982</v>
      </c>
      <c r="D9" s="53">
        <f>IFERROR(VLOOKUP(YEAR($D$6)&amp;MONTH($D$6),dados!$A$4:$U$13934,7,FALSE),"-")</f>
        <v>101.09014000000001</v>
      </c>
      <c r="E9" s="49">
        <f>VLOOKUP(YEAR($L$3)&amp;MONTH($L$3),dados_acumulados!$A$4:$AE$14772,7,FALSE)</f>
        <v>834.00423999999998</v>
      </c>
      <c r="F9" s="49">
        <f>IFERROR(VLOOKUP(YEAR($D$6)&amp;MONTH($D$6),dados_acumulados!$A$2:$AE$14772,7,FALSE),"-")</f>
        <v>775.23399999999992</v>
      </c>
      <c r="G9" s="50">
        <f>IFERROR((B9-C9)/ABS(C9) * 100,"-")</f>
        <v>-2.5268770210856806</v>
      </c>
      <c r="H9" s="50">
        <f>IFERROR((B9-D9)/ABS(D9)*100,"-")</f>
        <v>9.6509115527983198</v>
      </c>
      <c r="I9" s="54">
        <f>IFERROR((E9-F9)/ABS(F9) *100,"-")</f>
        <v>7.5809678110093284</v>
      </c>
    </row>
    <row r="10" spans="1:14" ht="30" customHeight="1" x14ac:dyDescent="0.25">
      <c r="A10" s="73" t="s">
        <v>15</v>
      </c>
      <c r="B10" s="74">
        <f>VLOOKUP(YEAR($L$3)&amp;MONTH($L$3),dados!$A$4:$U$13934,8,FALSE)</f>
        <v>107.92234999999999</v>
      </c>
      <c r="C10" s="74">
        <f>IFERROR(VLOOKUP(YEAR($C$6)&amp;MONTH($C$6),dados!$A$4:$U$13934,8,FALSE),"-")</f>
        <v>97.907330000000002</v>
      </c>
      <c r="D10" s="74">
        <f>IFERROR(VLOOKUP(YEAR($D$6)&amp;MONTH($D$6),dados!$A$4:$U$13934,8,FALSE),"-")</f>
        <v>109.86085</v>
      </c>
      <c r="E10" s="75">
        <f>VLOOKUP(YEAR($L$3)&amp;MONTH($L$3),dados_acumulados!$A$4:$AE$14772,8,FALSE)</f>
        <v>784.39168999999993</v>
      </c>
      <c r="F10" s="75">
        <f>IFERROR(VLOOKUP(YEAR($D$6)&amp;MONTH($D$6),dados_acumulados!$A$2:$AE$14772,8,FALSE),"-")</f>
        <v>781.74043000000006</v>
      </c>
      <c r="G10" s="76">
        <f t="shared" ref="G10:G23" si="3">IFERROR((B10-C10)/ABS(C10) * 100,"-")</f>
        <v>10.229080907425411</v>
      </c>
      <c r="H10" s="76">
        <f t="shared" ref="H10:H23" si="4">IFERROR((B10-D10)/ABS(D10)*100,"-")</f>
        <v>-1.7645048258774665</v>
      </c>
      <c r="I10" s="77">
        <f t="shared" ref="I10:I23" si="5">IFERROR((E10-F10)/ABS(F10) *100,"-")</f>
        <v>0.33914837946911169</v>
      </c>
    </row>
    <row r="11" spans="1:14" ht="30" customHeight="1" x14ac:dyDescent="0.25">
      <c r="A11" s="56" t="s">
        <v>21</v>
      </c>
      <c r="B11" s="53">
        <f>VLOOKUP(YEAR($L$3)&amp;MONTH($L$3),dados!$A$4:$U$13934,9,FALSE)</f>
        <v>102.67847</v>
      </c>
      <c r="C11" s="53">
        <f>IFERROR(VLOOKUP(YEAR($C$6)&amp;MONTH($C$6),dados!$A$4:$U$13934,9,FALSE),"-")</f>
        <v>99.455889999999997</v>
      </c>
      <c r="D11" s="53">
        <f>IFERROR(VLOOKUP(YEAR($D$6)&amp;MONTH($D$6),dados!$A$4:$U$13934,9,FALSE),"-")</f>
        <v>96.688630000000003</v>
      </c>
      <c r="E11" s="49">
        <f>VLOOKUP(YEAR($L$3)&amp;MONTH($L$3),dados_acumulados!$A$4:$AE$14772,9,FALSE)</f>
        <v>760.93326999999999</v>
      </c>
      <c r="F11" s="49">
        <f>IFERROR(VLOOKUP(YEAR($D$6)&amp;MONTH($D$6),dados_acumulados!$A$2:$AE$14772,9,FALSE),"-")</f>
        <v>808.57953999999995</v>
      </c>
      <c r="G11" s="50">
        <f t="shared" si="3"/>
        <v>3.2402103083085456</v>
      </c>
      <c r="H11" s="50">
        <f t="shared" si="4"/>
        <v>6.1949786650198693</v>
      </c>
      <c r="I11" s="54">
        <f t="shared" si="5"/>
        <v>-5.8925891199275169</v>
      </c>
    </row>
    <row r="12" spans="1:14" ht="30" customHeight="1" x14ac:dyDescent="0.25">
      <c r="A12" s="73" t="s">
        <v>22</v>
      </c>
      <c r="B12" s="74">
        <f>VLOOKUP(YEAR($L$3)&amp;MONTH($L$3),dados!$A$4:$U$13934,10,FALSE)</f>
        <v>103.11544000000001</v>
      </c>
      <c r="C12" s="74">
        <f>IFERROR(VLOOKUP(YEAR($C$6)&amp;MONTH($C$6),dados!$A$4:$U$13934,10,FALSE),"-")</f>
        <v>86.027379999999994</v>
      </c>
      <c r="D12" s="74">
        <f>IFERROR(VLOOKUP(YEAR($D$6)&amp;MONTH($D$6),dados!$A$4:$U$13934,10,FALSE),"-")</f>
        <v>102.27</v>
      </c>
      <c r="E12" s="75">
        <f>VLOOKUP(YEAR($L$3)&amp;MONTH($L$3),dados_acumulados!$A$4:$AE$14772,10,FALSE)</f>
        <v>782.2387500000001</v>
      </c>
      <c r="F12" s="75">
        <f>IFERROR(VLOOKUP(YEAR($D$6)&amp;MONTH($D$6),dados_acumulados!$A$2:$AE$14772,10,FALSE),"-")</f>
        <v>776.16246000000001</v>
      </c>
      <c r="G12" s="76">
        <f t="shared" si="3"/>
        <v>19.863513221023368</v>
      </c>
      <c r="H12" s="76">
        <f t="shared" si="4"/>
        <v>0.82667448909749741</v>
      </c>
      <c r="I12" s="77">
        <f t="shared" si="5"/>
        <v>0.78286316501317077</v>
      </c>
    </row>
    <row r="13" spans="1:14" ht="30" customHeight="1" x14ac:dyDescent="0.25">
      <c r="A13" s="56" t="s">
        <v>23</v>
      </c>
      <c r="B13" s="53" t="str">
        <f>VLOOKUP(YEAR($L$3)&amp;MONTH($L$3),dados!$A$4:$U$13934,11,FALSE)</f>
        <v>-</v>
      </c>
      <c r="C13" s="53" t="str">
        <f>IFERROR(VLOOKUP(YEAR($C$6)&amp;MONTH($C$6),dados!$A$4:$U$13934,11,FALSE),"-")</f>
        <v>-</v>
      </c>
      <c r="D13" s="53" t="str">
        <f>IFERROR(VLOOKUP(YEAR($D$6)&amp;MONTH($D$6),dados!$A$4:$U$13934,11,FALSE),"-")</f>
        <v>-</v>
      </c>
      <c r="E13" s="49">
        <f>VLOOKUP(YEAR($L$3)&amp;MONTH($L$3),dados_acumulados!$A$4:$AE$14772,11,FALSE)</f>
        <v>0</v>
      </c>
      <c r="F13" s="49">
        <f>IFERROR(VLOOKUP(YEAR($D$6)&amp;MONTH($D$6),dados_acumulados!$A$2:$AE$14772,11,FALSE),"-")</f>
        <v>0</v>
      </c>
      <c r="G13" s="50" t="str">
        <f t="shared" si="3"/>
        <v>-</v>
      </c>
      <c r="H13" s="50" t="str">
        <f t="shared" si="4"/>
        <v>-</v>
      </c>
      <c r="I13" s="54" t="str">
        <f t="shared" si="5"/>
        <v>-</v>
      </c>
    </row>
    <row r="14" spans="1:14" ht="30" customHeight="1" x14ac:dyDescent="0.25">
      <c r="A14" s="73" t="s">
        <v>24</v>
      </c>
      <c r="B14" s="74">
        <f>VLOOKUP(YEAR($L$3)&amp;MONTH($L$3),dados!$A$4:$U$13934,12,FALSE)</f>
        <v>120.21108</v>
      </c>
      <c r="C14" s="74">
        <f>IFERROR(VLOOKUP(YEAR($C$6)&amp;MONTH($C$6),dados!$A$4:$U$13934,12,FALSE),"-")</f>
        <v>104.88531</v>
      </c>
      <c r="D14" s="74">
        <f>IFERROR(VLOOKUP(YEAR($D$6)&amp;MONTH($D$6),dados!$A$4:$U$13934,12,FALSE),"-")</f>
        <v>109.07426</v>
      </c>
      <c r="E14" s="75">
        <f>VLOOKUP(YEAR($L$3)&amp;MONTH($L$3),dados_acumulados!$A$4:$AE$14772,12,FALSE)</f>
        <v>871.03744000000006</v>
      </c>
      <c r="F14" s="75">
        <f>IFERROR(VLOOKUP(YEAR($D$6)&amp;MONTH($D$6),dados_acumulados!$A$2:$AE$14772,12,FALSE),"-")</f>
        <v>760.63964999999996</v>
      </c>
      <c r="G14" s="76">
        <f t="shared" si="3"/>
        <v>14.61193183297069</v>
      </c>
      <c r="H14" s="76">
        <f t="shared" si="4"/>
        <v>10.210309930133837</v>
      </c>
      <c r="I14" s="77">
        <f t="shared" si="5"/>
        <v>14.51380952859874</v>
      </c>
    </row>
    <row r="15" spans="1:14" ht="30" customHeight="1" x14ac:dyDescent="0.25">
      <c r="A15" s="56" t="s">
        <v>25</v>
      </c>
      <c r="B15" s="53">
        <f>VLOOKUP(YEAR($L$3)&amp;MONTH($L$3),dados!$A$4:$U$13934,13,FALSE)</f>
        <v>117.89896</v>
      </c>
      <c r="C15" s="53">
        <f>IFERROR(VLOOKUP(YEAR($C$6)&amp;MONTH($C$6),dados!$A$4:$U$13934,13,FALSE),"-")</f>
        <v>104.57470000000001</v>
      </c>
      <c r="D15" s="53">
        <f>IFERROR(VLOOKUP(YEAR($D$6)&amp;MONTH($D$6),dados!$A$4:$U$13934,13,FALSE),"-")</f>
        <v>116.92728</v>
      </c>
      <c r="E15" s="49">
        <f>VLOOKUP(YEAR($L$3)&amp;MONTH($L$3),dados_acumulados!$A$4:$AE$14772,13,FALSE)</f>
        <v>719.19421999999997</v>
      </c>
      <c r="F15" s="49">
        <f>IFERROR(VLOOKUP(YEAR($D$6)&amp;MONTH($D$6),dados_acumulados!$A$2:$AE$14772,13,FALSE),"-")</f>
        <v>762.84261000000004</v>
      </c>
      <c r="G15" s="50">
        <f t="shared" si="3"/>
        <v>12.741380085240497</v>
      </c>
      <c r="H15" s="50">
        <f t="shared" si="4"/>
        <v>0.83101223256027701</v>
      </c>
      <c r="I15" s="54">
        <f t="shared" si="5"/>
        <v>-5.7218080673286016</v>
      </c>
    </row>
    <row r="16" spans="1:14" ht="30" customHeight="1" x14ac:dyDescent="0.25">
      <c r="A16" s="73" t="s">
        <v>26</v>
      </c>
      <c r="B16" s="74">
        <f>VLOOKUP(YEAR($L$3)&amp;MONTH($L$3),dados!$A$4:$U$13934,14,FALSE)</f>
        <v>79.139669999999995</v>
      </c>
      <c r="C16" s="74">
        <f>IFERROR(VLOOKUP(YEAR($C$6)&amp;MONTH($C$6),dados!$A$4:$U$13934,14,FALSE),"-")</f>
        <v>76.374480000000005</v>
      </c>
      <c r="D16" s="74">
        <f>IFERROR(VLOOKUP(YEAR($D$6)&amp;MONTH($D$6),dados!$A$4:$U$13934,14,FALSE),"-")</f>
        <v>123.91822999999999</v>
      </c>
      <c r="E16" s="75">
        <f>VLOOKUP(YEAR($L$3)&amp;MONTH($L$3),dados_acumulados!$A$4:$AE$14772,14,FALSE)</f>
        <v>625.41683</v>
      </c>
      <c r="F16" s="75">
        <f>IFERROR(VLOOKUP(YEAR($D$6)&amp;MONTH($D$6),dados_acumulados!$A$2:$AE$14772,14,FALSE),"-")</f>
        <v>707.73448999999994</v>
      </c>
      <c r="G16" s="76">
        <f t="shared" si="3"/>
        <v>3.6205680221979772</v>
      </c>
      <c r="H16" s="76">
        <f t="shared" si="4"/>
        <v>-36.135571013239939</v>
      </c>
      <c r="I16" s="77">
        <f t="shared" si="5"/>
        <v>-11.631149981117911</v>
      </c>
    </row>
    <row r="17" spans="1:10" ht="30" customHeight="1" x14ac:dyDescent="0.25">
      <c r="A17" s="56" t="s">
        <v>27</v>
      </c>
      <c r="B17" s="53">
        <f>VLOOKUP(YEAR($L$3)&amp;MONTH($L$3),dados!$A$4:$U$13934,15,FALSE)</f>
        <v>94.139330000000001</v>
      </c>
      <c r="C17" s="53">
        <f>IFERROR(VLOOKUP(YEAR($C$6)&amp;MONTH($C$6),dados!$A$4:$U$13934,15,FALSE),"-")</f>
        <v>88.691999999999993</v>
      </c>
      <c r="D17" s="53">
        <f>IFERROR(VLOOKUP(YEAR($D$6)&amp;MONTH($D$6),dados!$A$4:$U$13934,15,FALSE),"-")</f>
        <v>106.31703</v>
      </c>
      <c r="E17" s="49">
        <f>VLOOKUP(YEAR($L$3)&amp;MONTH($L$3),dados_acumulados!$A$4:$AE$14772,15,FALSE)</f>
        <v>731.11519999999996</v>
      </c>
      <c r="F17" s="49">
        <f>IFERROR(VLOOKUP(YEAR($D$6)&amp;MONTH($D$6),dados_acumulados!$A$2:$AE$14772,15,FALSE),"-")</f>
        <v>821.35854999999992</v>
      </c>
      <c r="G17" s="50">
        <f t="shared" si="3"/>
        <v>6.1418504487439778</v>
      </c>
      <c r="H17" s="50">
        <f t="shared" si="4"/>
        <v>-11.454138626709193</v>
      </c>
      <c r="I17" s="54">
        <f t="shared" si="5"/>
        <v>-10.987083533738094</v>
      </c>
    </row>
    <row r="18" spans="1:10" ht="30" customHeight="1" x14ac:dyDescent="0.25">
      <c r="A18" s="73" t="s">
        <v>28</v>
      </c>
      <c r="B18" s="74">
        <f>VLOOKUP(YEAR($L$3)&amp;MONTH($L$3),dados!$A$4:$U$13934,16,FALSE)</f>
        <v>124.84681999999999</v>
      </c>
      <c r="C18" s="74">
        <f>IFERROR(VLOOKUP(YEAR($C$6)&amp;MONTH($C$6),dados!$A$4:$U$13934,16,FALSE),"-")</f>
        <v>125.18371</v>
      </c>
      <c r="D18" s="74">
        <f>IFERROR(VLOOKUP(YEAR($D$6)&amp;MONTH($D$6),dados!$A$4:$U$13934,16,FALSE),"-")</f>
        <v>107.71883</v>
      </c>
      <c r="E18" s="75">
        <f>VLOOKUP(YEAR($L$3)&amp;MONTH($L$3),dados_acumulados!$A$4:$AE$14772,16,FALSE)</f>
        <v>946.81268</v>
      </c>
      <c r="F18" s="75">
        <f>IFERROR(VLOOKUP(YEAR($D$6)&amp;MONTH($D$6),dados_acumulados!$A$2:$AE$14772,16,FALSE),"-")</f>
        <v>791.56885</v>
      </c>
      <c r="G18" s="76">
        <f t="shared" si="3"/>
        <v>-0.26911648488450374</v>
      </c>
      <c r="H18" s="76">
        <f t="shared" si="4"/>
        <v>15.900646154437434</v>
      </c>
      <c r="I18" s="77">
        <f t="shared" si="5"/>
        <v>19.612170185827804</v>
      </c>
    </row>
    <row r="19" spans="1:10" ht="30" customHeight="1" x14ac:dyDescent="0.25">
      <c r="A19" s="56" t="s">
        <v>29</v>
      </c>
      <c r="B19" s="53">
        <f>VLOOKUP(YEAR($L$3)&amp;MONTH($L$3),dados!$A$4:$U$13934,17,FALSE)</f>
        <v>97.624179999999996</v>
      </c>
      <c r="C19" s="53">
        <f>IFERROR(VLOOKUP(YEAR($C$6)&amp;MONTH($C$6),dados!$A$4:$U$13934,17,FALSE),"-")</f>
        <v>99.895120000000006</v>
      </c>
      <c r="D19" s="53">
        <f>IFERROR(VLOOKUP(YEAR($D$6)&amp;MONTH($D$6),dados!$A$4:$U$13934,17,FALSE),"-")</f>
        <v>113.67274</v>
      </c>
      <c r="E19" s="49">
        <f>VLOOKUP(YEAR($L$3)&amp;MONTH($L$3),dados_acumulados!$A$4:$AE$14772,17,FALSE)</f>
        <v>746.34658000000002</v>
      </c>
      <c r="F19" s="49">
        <f>IFERROR(VLOOKUP(YEAR($D$6)&amp;MONTH($D$6),dados_acumulados!$A$2:$AE$14772,17,FALSE),"-")</f>
        <v>820.39014000000009</v>
      </c>
      <c r="G19" s="50">
        <f t="shared" si="3"/>
        <v>-2.273324262486506</v>
      </c>
      <c r="H19" s="50">
        <f t="shared" si="4"/>
        <v>-14.118213390475157</v>
      </c>
      <c r="I19" s="54">
        <f t="shared" si="5"/>
        <v>-9.0254083258484865</v>
      </c>
    </row>
    <row r="20" spans="1:10" ht="30" customHeight="1" x14ac:dyDescent="0.25">
      <c r="A20" s="73" t="s">
        <v>30</v>
      </c>
      <c r="B20" s="74">
        <f>VLOOKUP(YEAR($L$3)&amp;MONTH($L$3),dados!$A$4:$U$13934,18,FALSE)</f>
        <v>98.664640000000006</v>
      </c>
      <c r="C20" s="74">
        <f>IFERROR(VLOOKUP(YEAR($C$6)&amp;MONTH($C$6),dados!$A$4:$U$13934,18,FALSE),"-")</f>
        <v>84.929540000000003</v>
      </c>
      <c r="D20" s="74">
        <f>IFERROR(VLOOKUP(YEAR($D$6)&amp;MONTH($D$6),dados!$A$4:$U$13934,18,FALSE),"-")</f>
        <v>100.96281999999999</v>
      </c>
      <c r="E20" s="75">
        <f>VLOOKUP(YEAR($L$3)&amp;MONTH($L$3),dados_acumulados!$A$4:$AE$14772,18,FALSE)</f>
        <v>724.96882999999991</v>
      </c>
      <c r="F20" s="75">
        <f>IFERROR(VLOOKUP(YEAR($D$6)&amp;MONTH($D$6),dados_acumulados!$A$2:$AE$14772,18,FALSE),"-")</f>
        <v>833.59551999999996</v>
      </c>
      <c r="G20" s="76">
        <f t="shared" si="3"/>
        <v>16.172347100902705</v>
      </c>
      <c r="H20" s="76">
        <f t="shared" si="4"/>
        <v>-2.2762636780549395</v>
      </c>
      <c r="I20" s="77">
        <f t="shared" si="5"/>
        <v>-13.03110290228048</v>
      </c>
    </row>
    <row r="21" spans="1:10" ht="30" customHeight="1" x14ac:dyDescent="0.25">
      <c r="A21" s="56" t="s">
        <v>31</v>
      </c>
      <c r="B21" s="53">
        <f>VLOOKUP(YEAR($L$3)&amp;MONTH($L$3),dados!$A$4:$U$13934,19,FALSE)</f>
        <v>105.88982</v>
      </c>
      <c r="C21" s="53">
        <f>IFERROR(VLOOKUP(YEAR($C$6)&amp;MONTH($C$6),dados!$A$4:$U$13934,19,FALSE),"-")</f>
        <v>74.240080000000006</v>
      </c>
      <c r="D21" s="53">
        <f>IFERROR(VLOOKUP(YEAR($D$6)&amp;MONTH($D$6),dados!$A$4:$U$13934,19,FALSE),"-")</f>
        <v>113.24472</v>
      </c>
      <c r="E21" s="49">
        <f>VLOOKUP(YEAR($L$3)&amp;MONTH($L$3),dados_acumulados!$A$4:$AE$14772,19,FALSE)</f>
        <v>721.70196999999996</v>
      </c>
      <c r="F21" s="49">
        <f>IFERROR(VLOOKUP(YEAR($D$6)&amp;MONTH($D$6),dados_acumulados!$A$2:$AE$14772,19,FALSE),"-")</f>
        <v>801.98399000000006</v>
      </c>
      <c r="G21" s="50">
        <f t="shared" si="3"/>
        <v>42.631608155594648</v>
      </c>
      <c r="H21" s="50">
        <f t="shared" si="4"/>
        <v>-6.4946957350417751</v>
      </c>
      <c r="I21" s="54">
        <f t="shared" si="5"/>
        <v>-10.010426766748809</v>
      </c>
    </row>
    <row r="22" spans="1:10" ht="30" customHeight="1" x14ac:dyDescent="0.25">
      <c r="A22" s="73" t="s">
        <v>32</v>
      </c>
      <c r="B22" s="74">
        <f>VLOOKUP(YEAR($L$3)&amp;MONTH($L$3),dados!$A$4:$U$13934,20,FALSE)</f>
        <v>148.41640000000001</v>
      </c>
      <c r="C22" s="74">
        <f>IFERROR(VLOOKUP(YEAR($C$6)&amp;MONTH($C$6),dados!$A$4:$U$13934,20,FALSE),"-")</f>
        <v>149.32801000000001</v>
      </c>
      <c r="D22" s="74">
        <f>IFERROR(VLOOKUP(YEAR($D$6)&amp;MONTH($D$6),dados!$A$4:$U$13934,20,FALSE),"-")</f>
        <v>120.34761</v>
      </c>
      <c r="E22" s="75">
        <f>VLOOKUP(YEAR($L$3)&amp;MONTH($L$3),dados_acumulados!$A$4:$AE$14772,20,FALSE)</f>
        <v>1262.2733400000002</v>
      </c>
      <c r="F22" s="75">
        <f>IFERROR(VLOOKUP(YEAR($D$6)&amp;MONTH($D$6),dados_acumulados!$A$2:$AE$14772,20,FALSE),"-")</f>
        <v>651.48973000000001</v>
      </c>
      <c r="G22" s="76">
        <f t="shared" si="3"/>
        <v>-0.6104748867945109</v>
      </c>
      <c r="H22" s="76">
        <f t="shared" si="4"/>
        <v>23.323097151659269</v>
      </c>
      <c r="I22" s="77">
        <f t="shared" si="5"/>
        <v>93.751840109590091</v>
      </c>
    </row>
    <row r="23" spans="1:10" ht="30" customHeight="1" thickBot="1" x14ac:dyDescent="0.3">
      <c r="A23" s="57" t="s">
        <v>33</v>
      </c>
      <c r="B23" s="52">
        <f>VLOOKUP(YEAR($L$3)&amp;MONTH($L$3),dados!$A$4:$U$13934,21,FALSE)</f>
        <v>105.18407000000001</v>
      </c>
      <c r="C23" s="52">
        <f>IFERROR(VLOOKUP(YEAR($C$6)&amp;MONTH($C$6),dados!$A$4:$U$13934,21,FALSE),"-")</f>
        <v>104.61494</v>
      </c>
      <c r="D23" s="52">
        <f>IFERROR(VLOOKUP(YEAR($D$6)&amp;MONTH($D$6),dados!$A$4:$U$13934,21,FALSE),"-")</f>
        <v>109.12009999999999</v>
      </c>
      <c r="E23" s="21">
        <f>VLOOKUP(YEAR($L$3)&amp;MONTH($L$3),dados_acumulados!$A$4:$AE$14772,21,FALSE)</f>
        <v>787.89315000000011</v>
      </c>
      <c r="F23" s="21">
        <f>IFERROR(VLOOKUP(YEAR($D$6)&amp;MONTH($D$6),dados_acumulados!$A$2:$AE$14772,21,FALSE),"-")</f>
        <v>799.29479000000003</v>
      </c>
      <c r="G23" s="22">
        <f t="shared" si="3"/>
        <v>0.54402363562986433</v>
      </c>
      <c r="H23" s="22">
        <f t="shared" si="4"/>
        <v>-3.6070623102434731</v>
      </c>
      <c r="I23" s="39">
        <f t="shared" si="5"/>
        <v>-1.4264624444755769</v>
      </c>
    </row>
    <row r="24" spans="1:10" x14ac:dyDescent="0.25">
      <c r="A24" s="58" t="s">
        <v>37</v>
      </c>
    </row>
    <row r="25" spans="1:10" x14ac:dyDescent="0.25">
      <c r="A25" s="59" t="s">
        <v>1</v>
      </c>
    </row>
    <row r="26" spans="1:10" x14ac:dyDescent="0.25">
      <c r="D26" s="43"/>
      <c r="E26" s="43"/>
      <c r="F26" s="43"/>
      <c r="G26" s="43"/>
      <c r="H26" s="43"/>
      <c r="I26" s="43"/>
      <c r="J26" s="61"/>
    </row>
    <row r="27" spans="1:10" x14ac:dyDescent="0.25">
      <c r="D27" s="43"/>
      <c r="E27" s="43"/>
      <c r="F27" s="43"/>
      <c r="G27" s="43"/>
      <c r="H27" s="43"/>
      <c r="I27" s="43"/>
      <c r="J27" s="61"/>
    </row>
    <row r="28" spans="1:10" x14ac:dyDescent="0.25">
      <c r="D28" s="43"/>
      <c r="E28" s="43"/>
      <c r="F28" s="43"/>
      <c r="G28" s="43"/>
      <c r="H28" s="43"/>
      <c r="I28" s="43"/>
      <c r="J28" s="61"/>
    </row>
    <row r="29" spans="1:10" x14ac:dyDescent="0.25">
      <c r="D29" s="43"/>
      <c r="E29" s="43"/>
      <c r="F29" s="43"/>
      <c r="G29" s="43"/>
      <c r="H29" s="43"/>
      <c r="I29" s="43"/>
      <c r="J29" s="61"/>
    </row>
    <row r="30" spans="1:10" x14ac:dyDescent="0.25">
      <c r="D30" s="43"/>
      <c r="E30" s="43"/>
      <c r="F30" s="43"/>
      <c r="G30" s="43"/>
      <c r="H30" s="43"/>
      <c r="I30" s="43"/>
      <c r="J30" s="61"/>
    </row>
    <row r="31" spans="1:10" x14ac:dyDescent="0.25">
      <c r="D31" s="43"/>
      <c r="E31" s="43"/>
      <c r="F31" s="43"/>
      <c r="G31" s="43"/>
      <c r="H31" s="43"/>
      <c r="I31" s="43"/>
      <c r="J31" s="61"/>
    </row>
    <row r="32" spans="1:10" x14ac:dyDescent="0.25">
      <c r="D32" s="43"/>
      <c r="E32" s="43"/>
      <c r="F32" s="43"/>
      <c r="G32" s="43"/>
      <c r="H32" s="43"/>
      <c r="I32" s="43"/>
      <c r="J32" s="61"/>
    </row>
    <row r="33" spans="2:10" x14ac:dyDescent="0.25">
      <c r="B33" s="40"/>
      <c r="D33" s="43"/>
      <c r="E33" s="43"/>
      <c r="F33" s="43"/>
      <c r="G33" s="43"/>
      <c r="H33" s="43"/>
      <c r="I33" s="43"/>
      <c r="J33" s="61"/>
    </row>
    <row r="34" spans="2:10" x14ac:dyDescent="0.25">
      <c r="B34" s="46"/>
      <c r="D34" s="43"/>
      <c r="E34" s="43"/>
      <c r="F34" s="43"/>
      <c r="G34" s="43"/>
      <c r="H34" s="43"/>
      <c r="I34" s="43"/>
      <c r="J34" s="61"/>
    </row>
    <row r="35" spans="2:10" x14ac:dyDescent="0.25">
      <c r="B35" s="47"/>
      <c r="D35" s="43"/>
      <c r="E35" s="43"/>
      <c r="F35" s="43"/>
      <c r="G35" s="43"/>
      <c r="H35" s="43"/>
      <c r="I35" s="43"/>
      <c r="J35" s="61"/>
    </row>
    <row r="36" spans="2:10" x14ac:dyDescent="0.25">
      <c r="D36" s="43"/>
      <c r="E36" s="43"/>
      <c r="F36" s="43"/>
      <c r="G36" s="43"/>
      <c r="H36" s="43"/>
      <c r="I36" s="43"/>
      <c r="J36" s="61"/>
    </row>
    <row r="37" spans="2:10" x14ac:dyDescent="0.25">
      <c r="D37" s="43"/>
      <c r="E37" s="43"/>
      <c r="F37" s="43"/>
      <c r="G37" s="43"/>
      <c r="H37" s="43"/>
      <c r="I37" s="43"/>
      <c r="J37" s="61"/>
    </row>
    <row r="38" spans="2:10" x14ac:dyDescent="0.25">
      <c r="D38" s="43"/>
      <c r="E38" s="43"/>
      <c r="F38" s="43"/>
      <c r="G38" s="43"/>
      <c r="H38" s="43"/>
      <c r="I38" s="43"/>
      <c r="J38" s="61"/>
    </row>
    <row r="39" spans="2:10" x14ac:dyDescent="0.25">
      <c r="D39" s="43"/>
      <c r="E39" s="43"/>
      <c r="F39" s="43"/>
      <c r="G39" s="43"/>
      <c r="H39" s="43"/>
      <c r="I39" s="43"/>
      <c r="J39" s="61"/>
    </row>
    <row r="40" spans="2:10" x14ac:dyDescent="0.25">
      <c r="D40" s="43"/>
      <c r="E40" s="43"/>
      <c r="F40" s="43"/>
      <c r="G40" s="43"/>
      <c r="H40" s="43"/>
      <c r="I40" s="43"/>
      <c r="J40" s="61"/>
    </row>
    <row r="41" spans="2:10" x14ac:dyDescent="0.25">
      <c r="D41" s="43"/>
      <c r="E41" s="43"/>
      <c r="F41" s="43"/>
      <c r="G41" s="43"/>
      <c r="H41" s="43"/>
      <c r="I41" s="43"/>
      <c r="J41" s="61"/>
    </row>
    <row r="42" spans="2:10" x14ac:dyDescent="0.25">
      <c r="D42" s="43"/>
      <c r="E42" s="43"/>
      <c r="F42" s="43"/>
      <c r="G42" s="43"/>
      <c r="H42" s="43"/>
      <c r="I42" s="43"/>
      <c r="J42" s="61"/>
    </row>
  </sheetData>
  <mergeCells count="10">
    <mergeCell ref="L2:N2"/>
    <mergeCell ref="L3:N3"/>
    <mergeCell ref="A1:I1"/>
    <mergeCell ref="A3:I3"/>
    <mergeCell ref="A4:A6"/>
    <mergeCell ref="B4:F4"/>
    <mergeCell ref="G4:I4"/>
    <mergeCell ref="G5:G6"/>
    <mergeCell ref="H5:H6"/>
    <mergeCell ref="I5:I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controle!$E$3:$E$82</xm:f>
          </x14:formula1>
          <xm:sqref>L3:N3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3"/>
  <sheetViews>
    <sheetView showGridLines="0" tabSelected="1" workbookViewId="0">
      <selection activeCell="A107" sqref="A107"/>
    </sheetView>
  </sheetViews>
  <sheetFormatPr defaultRowHeight="15" x14ac:dyDescent="0.25"/>
  <cols>
    <col min="1" max="1" width="32.140625" style="18" customWidth="1"/>
    <col min="2" max="2" width="12.28515625" customWidth="1"/>
    <col min="3" max="3" width="9.5703125" customWidth="1"/>
    <col min="4" max="4" width="8.42578125" customWidth="1"/>
    <col min="5" max="5" width="9" customWidth="1"/>
    <col min="6" max="6" width="12.42578125" customWidth="1"/>
    <col min="7" max="7" width="10.28515625" customWidth="1"/>
    <col min="8" max="8" width="9.140625" customWidth="1"/>
    <col min="9" max="9" width="10" customWidth="1"/>
    <col min="10" max="10" width="14" customWidth="1"/>
    <col min="12" max="12" width="12.7109375" customWidth="1"/>
    <col min="15" max="15" width="9" customWidth="1"/>
    <col min="16" max="16" width="12.28515625" customWidth="1"/>
    <col min="17" max="17" width="11.5703125" customWidth="1"/>
    <col min="18" max="18" width="12.85546875" customWidth="1"/>
    <col min="19" max="19" width="12.7109375" customWidth="1"/>
  </cols>
  <sheetData>
    <row r="1" spans="1:19" ht="21" x14ac:dyDescent="0.35">
      <c r="A1" s="16" t="s">
        <v>38</v>
      </c>
      <c r="C1" s="7"/>
      <c r="D1" s="8"/>
      <c r="E1" s="8"/>
    </row>
    <row r="2" spans="1:19" ht="18.75" x14ac:dyDescent="0.3">
      <c r="A2" s="17" t="s">
        <v>41</v>
      </c>
      <c r="C2" s="7"/>
      <c r="D2" s="8"/>
      <c r="E2" s="8"/>
    </row>
    <row r="3" spans="1:19" ht="15.75" thickBot="1" x14ac:dyDescent="0.3">
      <c r="C3" s="7"/>
      <c r="D3" s="8"/>
      <c r="E3" s="15"/>
    </row>
    <row r="4" spans="1:19" s="19" customFormat="1" ht="27.75" customHeight="1" x14ac:dyDescent="0.2">
      <c r="A4" s="137" t="s">
        <v>4</v>
      </c>
      <c r="B4" s="135" t="s">
        <v>5</v>
      </c>
      <c r="C4" s="139" t="s">
        <v>39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1"/>
    </row>
    <row r="5" spans="1:19" s="19" customFormat="1" ht="105" customHeight="1" thickBot="1" x14ac:dyDescent="0.25">
      <c r="A5" s="138"/>
      <c r="B5" s="136"/>
      <c r="C5" s="78" t="s">
        <v>19</v>
      </c>
      <c r="D5" s="78" t="s">
        <v>20</v>
      </c>
      <c r="E5" s="78" t="s">
        <v>14</v>
      </c>
      <c r="F5" s="78" t="s">
        <v>15</v>
      </c>
      <c r="G5" s="78" t="s">
        <v>21</v>
      </c>
      <c r="H5" s="78" t="s">
        <v>22</v>
      </c>
      <c r="I5" s="78" t="s">
        <v>23</v>
      </c>
      <c r="J5" s="78" t="s">
        <v>24</v>
      </c>
      <c r="K5" s="78" t="s">
        <v>25</v>
      </c>
      <c r="L5" s="78" t="s">
        <v>26</v>
      </c>
      <c r="M5" s="78" t="s">
        <v>27</v>
      </c>
      <c r="N5" s="78" t="s">
        <v>28</v>
      </c>
      <c r="O5" s="78" t="s">
        <v>29</v>
      </c>
      <c r="P5" s="78" t="s">
        <v>30</v>
      </c>
      <c r="Q5" s="78" t="s">
        <v>31</v>
      </c>
      <c r="R5" s="78" t="s">
        <v>32</v>
      </c>
      <c r="S5" s="79" t="s">
        <v>33</v>
      </c>
    </row>
    <row r="6" spans="1:19" s="19" customFormat="1" ht="12.75" x14ac:dyDescent="0.2">
      <c r="A6" s="80">
        <f>A7</f>
        <v>2017</v>
      </c>
      <c r="B6" s="81" t="s">
        <v>6</v>
      </c>
      <c r="C6" s="82">
        <f>SUM(C7:C18)</f>
        <v>1056.9584300000001</v>
      </c>
      <c r="D6" s="82">
        <f t="shared" ref="D6" si="0">SUM(D7:D18)</f>
        <v>1057.2550799999999</v>
      </c>
      <c r="E6" s="82">
        <f t="shared" ref="E6:S6" si="1">SUM(E7:E18)</f>
        <v>932.13302999999996</v>
      </c>
      <c r="F6" s="82">
        <f t="shared" si="1"/>
        <v>1133.00326</v>
      </c>
      <c r="G6" s="82">
        <f t="shared" si="1"/>
        <v>1267.7397599999999</v>
      </c>
      <c r="H6" s="82">
        <f t="shared" ref="H6:I6" si="2">SUM(H7:H18)</f>
        <v>1466.83609</v>
      </c>
      <c r="I6" s="82">
        <f t="shared" si="2"/>
        <v>0</v>
      </c>
      <c r="J6" s="82">
        <f t="shared" si="1"/>
        <v>1067.0569</v>
      </c>
      <c r="K6" s="82">
        <f t="shared" ref="K6:L6" si="3">SUM(K7:K18)</f>
        <v>1210.31989</v>
      </c>
      <c r="L6" s="82">
        <f t="shared" si="3"/>
        <v>840.32563000000005</v>
      </c>
      <c r="M6" s="82">
        <f t="shared" si="1"/>
        <v>1382.07627</v>
      </c>
      <c r="N6" s="82">
        <f t="shared" ref="N6:O6" si="4">SUM(N7:N18)</f>
        <v>746.06859999999995</v>
      </c>
      <c r="O6" s="82">
        <f t="shared" si="4"/>
        <v>1317.3145599999998</v>
      </c>
      <c r="P6" s="82">
        <f t="shared" si="1"/>
        <v>888.59375</v>
      </c>
      <c r="Q6" s="82">
        <f t="shared" ref="Q6:R6" si="5">SUM(Q7:Q18)</f>
        <v>1047.8825899999999</v>
      </c>
      <c r="R6" s="82">
        <f t="shared" si="5"/>
        <v>949.46385999999995</v>
      </c>
      <c r="S6" s="83">
        <f t="shared" si="1"/>
        <v>1549.1243999999999</v>
      </c>
    </row>
    <row r="7" spans="1:19" s="19" customFormat="1" ht="12.75" x14ac:dyDescent="0.2">
      <c r="A7" s="84">
        <f t="shared" ref="A7:A39" si="6">YEAR(B7)</f>
        <v>2017</v>
      </c>
      <c r="B7" s="85">
        <v>42736</v>
      </c>
      <c r="C7" s="86">
        <f>VLOOKUP($B7,dados!$D$4:$U$272,2,FALSE)</f>
        <v>85.504490000000004</v>
      </c>
      <c r="D7" s="86">
        <f>VLOOKUP($B7,dados!$D$4:$U$272,3,FALSE)</f>
        <v>86.534270000000006</v>
      </c>
      <c r="E7" s="86">
        <f>VLOOKUP($B7,dados!$D$4:$U$272,4,FALSE)</f>
        <v>82.043360000000007</v>
      </c>
      <c r="F7" s="86">
        <f>VLOOKUP($B7,dados!$D$4:$U$272,5,FALSE)</f>
        <v>89.253050000000002</v>
      </c>
      <c r="G7" s="86">
        <f>VLOOKUP($B7,dados!$D$4:$U$272,6,FALSE)</f>
        <v>109.54627000000001</v>
      </c>
      <c r="H7" s="86">
        <f>VLOOKUP($B7,dados!$D$4:$U$272,7,FALSE)</f>
        <v>143.55978999999999</v>
      </c>
      <c r="I7" s="86" t="str">
        <f>VLOOKUP($B7,dados!$D$4:$U$272,8,FALSE)</f>
        <v>-</v>
      </c>
      <c r="J7" s="86">
        <f>VLOOKUP($B7,dados!$D$4:$U$272,9,FALSE)</f>
        <v>83.637460000000004</v>
      </c>
      <c r="K7" s="86">
        <f>VLOOKUP($B7,dados!$D$4:$U$272,10,FALSE)</f>
        <v>93.803299999999993</v>
      </c>
      <c r="L7" s="86">
        <f>VLOOKUP($B7,dados!$D$4:$U$272,11,FALSE)</f>
        <v>68.354100000000003</v>
      </c>
      <c r="M7" s="86">
        <f>VLOOKUP($B7,dados!$D$4:$U$272,12,FALSE)</f>
        <v>108.35245999999999</v>
      </c>
      <c r="N7" s="86">
        <f>VLOOKUP($B7,dados!$D$4:$U$272,13,FALSE)</f>
        <v>58.928069999999998</v>
      </c>
      <c r="O7" s="86">
        <f>VLOOKUP($B7,dados!$D$4:$U$272,14,FALSE)</f>
        <v>106.95267</v>
      </c>
      <c r="P7" s="86">
        <f>VLOOKUP($B7,dados!$D$4:$U$272,15,FALSE)</f>
        <v>71.258660000000006</v>
      </c>
      <c r="Q7" s="86">
        <f>VLOOKUP($B7,dados!$D$4:$U$272,16,FALSE)</f>
        <v>59.216920000000002</v>
      </c>
      <c r="R7" s="86">
        <f>VLOOKUP($B7,dados!$D$4:$U$272,17,FALSE)</f>
        <v>95.583960000000005</v>
      </c>
      <c r="S7" s="87">
        <f>VLOOKUP($B7,dados!$D$4:$U$272,18,FALSE)</f>
        <v>125.48721</v>
      </c>
    </row>
    <row r="8" spans="1:19" s="19" customFormat="1" ht="12.75" x14ac:dyDescent="0.2">
      <c r="A8" s="84">
        <f t="shared" si="6"/>
        <v>2017</v>
      </c>
      <c r="B8" s="85">
        <v>42767</v>
      </c>
      <c r="C8" s="86">
        <f>VLOOKUP($B8,dados!$D$4:$U$272,2,FALSE)</f>
        <v>87.319040000000001</v>
      </c>
      <c r="D8" s="86">
        <f>VLOOKUP($B8,dados!$D$4:$U$272,3,FALSE)</f>
        <v>80.395409999999998</v>
      </c>
      <c r="E8" s="86">
        <f>VLOOKUP($B8,dados!$D$4:$U$272,4,FALSE)</f>
        <v>72.939490000000006</v>
      </c>
      <c r="F8" s="86">
        <f>VLOOKUP($B8,dados!$D$4:$U$272,5,FALSE)</f>
        <v>84.909180000000006</v>
      </c>
      <c r="G8" s="86">
        <f>VLOOKUP($B8,dados!$D$4:$U$272,6,FALSE)</f>
        <v>100.17746</v>
      </c>
      <c r="H8" s="86">
        <f>VLOOKUP($B8,dados!$D$4:$U$272,7,FALSE)</f>
        <v>121.90974</v>
      </c>
      <c r="I8" s="86" t="str">
        <f>VLOOKUP($B8,dados!$D$4:$U$272,8,FALSE)</f>
        <v>-</v>
      </c>
      <c r="J8" s="86">
        <f>VLOOKUP($B8,dados!$D$4:$U$272,9,FALSE)</f>
        <v>81.442409999999995</v>
      </c>
      <c r="K8" s="86">
        <f>VLOOKUP($B8,dados!$D$4:$U$272,10,FALSE)</f>
        <v>82.420940000000002</v>
      </c>
      <c r="L8" s="86">
        <f>VLOOKUP($B8,dados!$D$4:$U$272,11,FALSE)</f>
        <v>66.247640000000004</v>
      </c>
      <c r="M8" s="86">
        <f>VLOOKUP($B8,dados!$D$4:$U$272,12,FALSE)</f>
        <v>90.594369999999998</v>
      </c>
      <c r="N8" s="86">
        <f>VLOOKUP($B8,dados!$D$4:$U$272,13,FALSE)</f>
        <v>59.658940000000001</v>
      </c>
      <c r="O8" s="86">
        <f>VLOOKUP($B8,dados!$D$4:$U$272,14,FALSE)</f>
        <v>101.43342</v>
      </c>
      <c r="P8" s="86">
        <f>VLOOKUP($B8,dados!$D$4:$U$272,15,FALSE)</f>
        <v>71.942189999999997</v>
      </c>
      <c r="Q8" s="86">
        <f>VLOOKUP($B8,dados!$D$4:$U$272,16,FALSE)</f>
        <v>63.362349999999999</v>
      </c>
      <c r="R8" s="86">
        <f>VLOOKUP($B8,dados!$D$4:$U$272,17,FALSE)</f>
        <v>77.277609999999996</v>
      </c>
      <c r="S8" s="87">
        <f>VLOOKUP($B8,dados!$D$4:$U$272,18,FALSE)</f>
        <v>120.80091</v>
      </c>
    </row>
    <row r="9" spans="1:19" s="19" customFormat="1" ht="12.75" x14ac:dyDescent="0.2">
      <c r="A9" s="84">
        <f t="shared" si="6"/>
        <v>2017</v>
      </c>
      <c r="B9" s="85">
        <v>42795</v>
      </c>
      <c r="C9" s="86">
        <f>VLOOKUP($B9,dados!$D$4:$U$272,2,FALSE)</f>
        <v>88.674109999999999</v>
      </c>
      <c r="D9" s="86">
        <f>VLOOKUP($B9,dados!$D$4:$U$272,3,FALSE)</f>
        <v>87.567210000000003</v>
      </c>
      <c r="E9" s="86">
        <f>VLOOKUP($B9,dados!$D$4:$U$272,4,FALSE)</f>
        <v>74.693790000000007</v>
      </c>
      <c r="F9" s="86">
        <f>VLOOKUP($B9,dados!$D$4:$U$272,5,FALSE)</f>
        <v>95.360709999999997</v>
      </c>
      <c r="G9" s="86">
        <f>VLOOKUP($B9,dados!$D$4:$U$272,6,FALSE)</f>
        <v>119.40062</v>
      </c>
      <c r="H9" s="86">
        <f>VLOOKUP($B9,dados!$D$4:$U$272,7,FALSE)</f>
        <v>123.06341999999999</v>
      </c>
      <c r="I9" s="86" t="str">
        <f>VLOOKUP($B9,dados!$D$4:$U$272,8,FALSE)</f>
        <v>-</v>
      </c>
      <c r="J9" s="86">
        <f>VLOOKUP($B9,dados!$D$4:$U$272,9,FALSE)</f>
        <v>90.011880000000005</v>
      </c>
      <c r="K9" s="86">
        <f>VLOOKUP($B9,dados!$D$4:$U$272,10,FALSE)</f>
        <v>95.550889999999995</v>
      </c>
      <c r="L9" s="86">
        <f>VLOOKUP($B9,dados!$D$4:$U$272,11,FALSE)</f>
        <v>70.19699</v>
      </c>
      <c r="M9" s="86">
        <f>VLOOKUP($B9,dados!$D$4:$U$272,12,FALSE)</f>
        <v>99.663799999999995</v>
      </c>
      <c r="N9" s="86">
        <f>VLOOKUP($B9,dados!$D$4:$U$272,13,FALSE)</f>
        <v>63.401380000000003</v>
      </c>
      <c r="O9" s="86">
        <f>VLOOKUP($B9,dados!$D$4:$U$272,14,FALSE)</f>
        <v>117.01355</v>
      </c>
      <c r="P9" s="86">
        <f>VLOOKUP($B9,dados!$D$4:$U$272,15,FALSE)</f>
        <v>78.849500000000006</v>
      </c>
      <c r="Q9" s="86">
        <f>VLOOKUP($B9,dados!$D$4:$U$272,16,FALSE)</f>
        <v>86.556629999999998</v>
      </c>
      <c r="R9" s="86">
        <f>VLOOKUP($B9,dados!$D$4:$U$272,17,FALSE)</f>
        <v>87.83211</v>
      </c>
      <c r="S9" s="87">
        <f>VLOOKUP($B9,dados!$D$4:$U$272,18,FALSE)</f>
        <v>126.34780000000001</v>
      </c>
    </row>
    <row r="10" spans="1:19" s="19" customFormat="1" ht="12.75" x14ac:dyDescent="0.2">
      <c r="A10" s="84">
        <f t="shared" si="6"/>
        <v>2017</v>
      </c>
      <c r="B10" s="85">
        <v>42826</v>
      </c>
      <c r="C10" s="86">
        <f>VLOOKUP($B10,dados!$D$4:$U$272,2,FALSE)</f>
        <v>87.246350000000007</v>
      </c>
      <c r="D10" s="86">
        <f>VLOOKUP($B10,dados!$D$4:$U$272,3,FALSE)</f>
        <v>83.339269999999999</v>
      </c>
      <c r="E10" s="86">
        <f>VLOOKUP($B10,dados!$D$4:$U$272,4,FALSE)</f>
        <v>72.487430000000003</v>
      </c>
      <c r="F10" s="86">
        <f>VLOOKUP($B10,dados!$D$4:$U$272,5,FALSE)</f>
        <v>89.908919999999995</v>
      </c>
      <c r="G10" s="86">
        <f>VLOOKUP($B10,dados!$D$4:$U$272,6,FALSE)</f>
        <v>91.538579999999996</v>
      </c>
      <c r="H10" s="86">
        <f>VLOOKUP($B10,dados!$D$4:$U$272,7,FALSE)</f>
        <v>78.583950000000002</v>
      </c>
      <c r="I10" s="86" t="str">
        <f>VLOOKUP($B10,dados!$D$4:$U$272,8,FALSE)</f>
        <v>-</v>
      </c>
      <c r="J10" s="86">
        <f>VLOOKUP($B10,dados!$D$4:$U$272,9,FALSE)</f>
        <v>92.176869999999994</v>
      </c>
      <c r="K10" s="86">
        <f>VLOOKUP($B10,dados!$D$4:$U$272,10,FALSE)</f>
        <v>79.484669999999994</v>
      </c>
      <c r="L10" s="86">
        <f>VLOOKUP($B10,dados!$D$4:$U$272,11,FALSE)</f>
        <v>63.444400000000002</v>
      </c>
      <c r="M10" s="86">
        <f>VLOOKUP($B10,dados!$D$4:$U$272,12,FALSE)</f>
        <v>111.4233</v>
      </c>
      <c r="N10" s="86">
        <f>VLOOKUP($B10,dados!$D$4:$U$272,13,FALSE)</f>
        <v>56.649059999999999</v>
      </c>
      <c r="O10" s="86">
        <f>VLOOKUP($B10,dados!$D$4:$U$272,14,FALSE)</f>
        <v>117.12649</v>
      </c>
      <c r="P10" s="86">
        <f>VLOOKUP($B10,dados!$D$4:$U$272,15,FALSE)</f>
        <v>74.450810000000004</v>
      </c>
      <c r="Q10" s="86">
        <f>VLOOKUP($B10,dados!$D$4:$U$272,16,FALSE)</f>
        <v>69.006730000000005</v>
      </c>
      <c r="R10" s="86">
        <f>VLOOKUP($B10,dados!$D$4:$U$272,17,FALSE)</f>
        <v>67.043940000000006</v>
      </c>
      <c r="S10" s="87">
        <f>VLOOKUP($B10,dados!$D$4:$U$272,18,FALSE)</f>
        <v>123.19929999999999</v>
      </c>
    </row>
    <row r="11" spans="1:19" s="19" customFormat="1" ht="12.75" x14ac:dyDescent="0.2">
      <c r="A11" s="84">
        <f t="shared" si="6"/>
        <v>2017</v>
      </c>
      <c r="B11" s="85">
        <v>42856</v>
      </c>
      <c r="C11" s="86">
        <f>VLOOKUP($B11,dados!$D$4:$U$272,2,FALSE)</f>
        <v>86.987139999999997</v>
      </c>
      <c r="D11" s="86">
        <f>VLOOKUP($B11,dados!$D$4:$U$272,3,FALSE)</f>
        <v>86.623400000000004</v>
      </c>
      <c r="E11" s="86">
        <f>VLOOKUP($B11,dados!$D$4:$U$272,4,FALSE)</f>
        <v>78.862710000000007</v>
      </c>
      <c r="F11" s="86">
        <f>VLOOKUP($B11,dados!$D$4:$U$272,5,FALSE)</f>
        <v>91.321680000000001</v>
      </c>
      <c r="G11" s="86">
        <f>VLOOKUP($B11,dados!$D$4:$U$272,6,FALSE)</f>
        <v>94.170259999999999</v>
      </c>
      <c r="H11" s="86">
        <f>VLOOKUP($B11,dados!$D$4:$U$272,7,FALSE)</f>
        <v>96.390860000000004</v>
      </c>
      <c r="I11" s="86" t="str">
        <f>VLOOKUP($B11,dados!$D$4:$U$272,8,FALSE)</f>
        <v>-</v>
      </c>
      <c r="J11" s="86">
        <f>VLOOKUP($B11,dados!$D$4:$U$272,9,FALSE)</f>
        <v>88.697649999999996</v>
      </c>
      <c r="K11" s="86">
        <f>VLOOKUP($B11,dados!$D$4:$U$272,10,FALSE)</f>
        <v>87.479780000000005</v>
      </c>
      <c r="L11" s="86">
        <f>VLOOKUP($B11,dados!$D$4:$U$272,11,FALSE)</f>
        <v>58.16686</v>
      </c>
      <c r="M11" s="86">
        <f>VLOOKUP($B11,dados!$D$4:$U$272,12,FALSE)</f>
        <v>107.34892000000001</v>
      </c>
      <c r="N11" s="86">
        <f>VLOOKUP($B11,dados!$D$4:$U$272,13,FALSE)</f>
        <v>64.31156</v>
      </c>
      <c r="O11" s="86">
        <f>VLOOKUP($B11,dados!$D$4:$U$272,14,FALSE)</f>
        <v>107.94235999999999</v>
      </c>
      <c r="P11" s="86">
        <f>VLOOKUP($B11,dados!$D$4:$U$272,15,FALSE)</f>
        <v>76.471180000000004</v>
      </c>
      <c r="Q11" s="86">
        <f>VLOOKUP($B11,dados!$D$4:$U$272,16,FALSE)</f>
        <v>88.35463</v>
      </c>
      <c r="R11" s="86">
        <f>VLOOKUP($B11,dados!$D$4:$U$272,17,FALSE)</f>
        <v>94.920159999999996</v>
      </c>
      <c r="S11" s="87">
        <f>VLOOKUP($B11,dados!$D$4:$U$272,18,FALSE)</f>
        <v>135.74669</v>
      </c>
    </row>
    <row r="12" spans="1:19" s="19" customFormat="1" ht="12.75" x14ac:dyDescent="0.2">
      <c r="A12" s="84">
        <f t="shared" si="6"/>
        <v>2017</v>
      </c>
      <c r="B12" s="85">
        <v>42887</v>
      </c>
      <c r="C12" s="86">
        <f>VLOOKUP($B12,dados!$D$4:$U$272,2,FALSE)</f>
        <v>87.936250000000001</v>
      </c>
      <c r="D12" s="86">
        <f>VLOOKUP($B12,dados!$D$4:$U$272,3,FALSE)</f>
        <v>86.487729999999999</v>
      </c>
      <c r="E12" s="86">
        <f>VLOOKUP($B12,dados!$D$4:$U$272,4,FALSE)</f>
        <v>77.446749999999994</v>
      </c>
      <c r="F12" s="86">
        <f>VLOOKUP($B12,dados!$D$4:$U$272,5,FALSE)</f>
        <v>91.961089999999999</v>
      </c>
      <c r="G12" s="86">
        <f>VLOOKUP($B12,dados!$D$4:$U$272,6,FALSE)</f>
        <v>87.733069999999998</v>
      </c>
      <c r="H12" s="86">
        <f>VLOOKUP($B12,dados!$D$4:$U$272,7,FALSE)</f>
        <v>103.79438</v>
      </c>
      <c r="I12" s="86" t="str">
        <f>VLOOKUP($B12,dados!$D$4:$U$272,8,FALSE)</f>
        <v>-</v>
      </c>
      <c r="J12" s="86">
        <f>VLOOKUP($B12,dados!$D$4:$U$272,9,FALSE)</f>
        <v>95.057770000000005</v>
      </c>
      <c r="K12" s="86">
        <f>VLOOKUP($B12,dados!$D$4:$U$272,10,FALSE)</f>
        <v>94.393699999999995</v>
      </c>
      <c r="L12" s="86">
        <f>VLOOKUP($B12,dados!$D$4:$U$272,11,FALSE)</f>
        <v>61.395209999999999</v>
      </c>
      <c r="M12" s="86">
        <f>VLOOKUP($B12,dados!$D$4:$U$272,12,FALSE)</f>
        <v>117.85457</v>
      </c>
      <c r="N12" s="86">
        <f>VLOOKUP($B12,dados!$D$4:$U$272,13,FALSE)</f>
        <v>61.400419999999997</v>
      </c>
      <c r="O12" s="86">
        <f>VLOOKUP($B12,dados!$D$4:$U$272,14,FALSE)</f>
        <v>104.7692</v>
      </c>
      <c r="P12" s="86">
        <f>VLOOKUP($B12,dados!$D$4:$U$272,15,FALSE)</f>
        <v>83.081950000000006</v>
      </c>
      <c r="Q12" s="86">
        <f>VLOOKUP($B12,dados!$D$4:$U$272,16,FALSE)</f>
        <v>63.478830000000002</v>
      </c>
      <c r="R12" s="86">
        <f>VLOOKUP($B12,dados!$D$4:$U$272,17,FALSE)</f>
        <v>93.791870000000003</v>
      </c>
      <c r="S12" s="87">
        <f>VLOOKUP($B12,dados!$D$4:$U$272,18,FALSE)</f>
        <v>130.31809999999999</v>
      </c>
    </row>
    <row r="13" spans="1:19" s="19" customFormat="1" ht="12.75" x14ac:dyDescent="0.2">
      <c r="A13" s="84">
        <f t="shared" si="6"/>
        <v>2017</v>
      </c>
      <c r="B13" s="85">
        <v>42917</v>
      </c>
      <c r="C13" s="86">
        <f>VLOOKUP($B13,dados!$D$4:$U$272,2,FALSE)</f>
        <v>81.014930000000007</v>
      </c>
      <c r="D13" s="86">
        <f>VLOOKUP($B13,dados!$D$4:$U$272,3,FALSE)</f>
        <v>83.690110000000004</v>
      </c>
      <c r="E13" s="86">
        <f>VLOOKUP($B13,dados!$D$4:$U$272,4,FALSE)</f>
        <v>82.346220000000002</v>
      </c>
      <c r="F13" s="86">
        <f>VLOOKUP($B13,dados!$D$4:$U$272,5,FALSE)</f>
        <v>84.503690000000006</v>
      </c>
      <c r="G13" s="86">
        <f>VLOOKUP($B13,dados!$D$4:$U$272,6,FALSE)</f>
        <v>95.623980000000003</v>
      </c>
      <c r="H13" s="86">
        <f>VLOOKUP($B13,dados!$D$4:$U$272,7,FALSE)</f>
        <v>92.513729999999995</v>
      </c>
      <c r="I13" s="86" t="str">
        <f>VLOOKUP($B13,dados!$D$4:$U$272,8,FALSE)</f>
        <v>-</v>
      </c>
      <c r="J13" s="86">
        <f>VLOOKUP($B13,dados!$D$4:$U$272,9,FALSE)</f>
        <v>71.611519999999999</v>
      </c>
      <c r="K13" s="86">
        <f>VLOOKUP($B13,dados!$D$4:$U$272,10,FALSE)</f>
        <v>101.40161999999999</v>
      </c>
      <c r="L13" s="86">
        <f>VLOOKUP($B13,dados!$D$4:$U$272,11,FALSE)</f>
        <v>50.179079999999999</v>
      </c>
      <c r="M13" s="86">
        <f>VLOOKUP($B13,dados!$D$4:$U$272,12,FALSE)</f>
        <v>137.15454</v>
      </c>
      <c r="N13" s="86">
        <f>VLOOKUP($B13,dados!$D$4:$U$272,13,FALSE)</f>
        <v>67.607849999999999</v>
      </c>
      <c r="O13" s="86">
        <f>VLOOKUP($B13,dados!$D$4:$U$272,14,FALSE)</f>
        <v>95.025880000000001</v>
      </c>
      <c r="P13" s="86">
        <f>VLOOKUP($B13,dados!$D$4:$U$272,15,FALSE)</f>
        <v>79.859610000000004</v>
      </c>
      <c r="Q13" s="86">
        <f>VLOOKUP($B13,dados!$D$4:$U$272,16,FALSE)</f>
        <v>87.85172</v>
      </c>
      <c r="R13" s="86">
        <f>VLOOKUP($B13,dados!$D$4:$U$272,17,FALSE)</f>
        <v>83.914140000000003</v>
      </c>
      <c r="S13" s="87">
        <f>VLOOKUP($B13,dados!$D$4:$U$272,18,FALSE)</f>
        <v>132.99728999999999</v>
      </c>
    </row>
    <row r="14" spans="1:19" s="19" customFormat="1" ht="12.75" x14ac:dyDescent="0.2">
      <c r="A14" s="84">
        <f t="shared" si="6"/>
        <v>2017</v>
      </c>
      <c r="B14" s="85">
        <v>42948</v>
      </c>
      <c r="C14" s="86">
        <f>VLOOKUP($B14,dados!$D$4:$U$272,2,FALSE)</f>
        <v>86.072519999999997</v>
      </c>
      <c r="D14" s="86">
        <f>VLOOKUP($B14,dados!$D$4:$U$272,3,FALSE)</f>
        <v>88.467200000000005</v>
      </c>
      <c r="E14" s="86">
        <f>VLOOKUP($B14,dados!$D$4:$U$272,4,FALSE)</f>
        <v>75.298509999999993</v>
      </c>
      <c r="F14" s="86">
        <f>VLOOKUP($B14,dados!$D$4:$U$272,5,FALSE)</f>
        <v>96.439440000000005</v>
      </c>
      <c r="G14" s="86">
        <f>VLOOKUP($B14,dados!$D$4:$U$272,6,FALSE)</f>
        <v>109.0615</v>
      </c>
      <c r="H14" s="86">
        <f>VLOOKUP($B14,dados!$D$4:$U$272,7,FALSE)</f>
        <v>109.7146</v>
      </c>
      <c r="I14" s="86" t="str">
        <f>VLOOKUP($B14,dados!$D$4:$U$272,8,FALSE)</f>
        <v>-</v>
      </c>
      <c r="J14" s="86">
        <f>VLOOKUP($B14,dados!$D$4:$U$272,9,FALSE)</f>
        <v>77.729159999999993</v>
      </c>
      <c r="K14" s="86">
        <f>VLOOKUP($B14,dados!$D$4:$U$272,10,FALSE)</f>
        <v>112.56922</v>
      </c>
      <c r="L14" s="86">
        <f>VLOOKUP($B14,dados!$D$4:$U$272,11,FALSE)</f>
        <v>93.009410000000003</v>
      </c>
      <c r="M14" s="86">
        <f>VLOOKUP($B14,dados!$D$4:$U$272,12,FALSE)</f>
        <v>144.07129</v>
      </c>
      <c r="N14" s="86">
        <f>VLOOKUP($B14,dados!$D$4:$U$272,13,FALSE)</f>
        <v>70.812240000000003</v>
      </c>
      <c r="O14" s="86">
        <f>VLOOKUP($B14,dados!$D$4:$U$272,14,FALSE)</f>
        <v>112.41082</v>
      </c>
      <c r="P14" s="86">
        <f>VLOOKUP($B14,dados!$D$4:$U$272,15,FALSE)</f>
        <v>65.83</v>
      </c>
      <c r="Q14" s="86">
        <f>VLOOKUP($B14,dados!$D$4:$U$272,16,FALSE)</f>
        <v>118.29165</v>
      </c>
      <c r="R14" s="86">
        <f>VLOOKUP($B14,dados!$D$4:$U$272,17,FALSE)</f>
        <v>92.590379999999996</v>
      </c>
      <c r="S14" s="87">
        <f>VLOOKUP($B14,dados!$D$4:$U$272,18,FALSE)</f>
        <v>127.61136999999999</v>
      </c>
    </row>
    <row r="15" spans="1:19" s="19" customFormat="1" ht="12.75" x14ac:dyDescent="0.2">
      <c r="A15" s="84">
        <f t="shared" si="6"/>
        <v>2017</v>
      </c>
      <c r="B15" s="85">
        <v>42979</v>
      </c>
      <c r="C15" s="86">
        <f>VLOOKUP($B15,dados!$D$4:$U$272,2,FALSE)</f>
        <v>91.848439999999997</v>
      </c>
      <c r="D15" s="86">
        <f>VLOOKUP($B15,dados!$D$4:$U$272,3,FALSE)</f>
        <v>91.4024</v>
      </c>
      <c r="E15" s="86">
        <f>VLOOKUP($B15,dados!$D$4:$U$272,4,FALSE)</f>
        <v>77.988420000000005</v>
      </c>
      <c r="F15" s="86">
        <f>VLOOKUP($B15,dados!$D$4:$U$272,5,FALSE)</f>
        <v>99.523150000000001</v>
      </c>
      <c r="G15" s="86">
        <f>VLOOKUP($B15,dados!$D$4:$U$272,6,FALSE)</f>
        <v>108.15322999999999</v>
      </c>
      <c r="H15" s="86">
        <f>VLOOKUP($B15,dados!$D$4:$U$272,7,FALSE)</f>
        <v>123.49037</v>
      </c>
      <c r="I15" s="86" t="str">
        <f>VLOOKUP($B15,dados!$D$4:$U$272,8,FALSE)</f>
        <v>-</v>
      </c>
      <c r="J15" s="86">
        <f>VLOOKUP($B15,dados!$D$4:$U$272,9,FALSE)</f>
        <v>92.071529999999996</v>
      </c>
      <c r="K15" s="86">
        <f>VLOOKUP($B15,dados!$D$4:$U$272,10,FALSE)</f>
        <v>118.93057</v>
      </c>
      <c r="L15" s="86">
        <f>VLOOKUP($B15,dados!$D$4:$U$272,11,FALSE)</f>
        <v>91.910520000000005</v>
      </c>
      <c r="M15" s="86">
        <f>VLOOKUP($B15,dados!$D$4:$U$272,12,FALSE)</f>
        <v>120.62136</v>
      </c>
      <c r="N15" s="86">
        <f>VLOOKUP($B15,dados!$D$4:$U$272,13,FALSE)</f>
        <v>62.804490000000001</v>
      </c>
      <c r="O15" s="86">
        <f>VLOOKUP($B15,dados!$D$4:$U$272,14,FALSE)</f>
        <v>108.49365</v>
      </c>
      <c r="P15" s="86">
        <f>VLOOKUP($B15,dados!$D$4:$U$272,15,FALSE)</f>
        <v>67.180199999999999</v>
      </c>
      <c r="Q15" s="86">
        <f>VLOOKUP($B15,dados!$D$4:$U$272,16,FALSE)</f>
        <v>103.90367999999999</v>
      </c>
      <c r="R15" s="86">
        <f>VLOOKUP($B15,dados!$D$4:$U$272,17,FALSE)</f>
        <v>68.725809999999996</v>
      </c>
      <c r="S15" s="87">
        <f>VLOOKUP($B15,dados!$D$4:$U$272,18,FALSE)</f>
        <v>123.42352</v>
      </c>
    </row>
    <row r="16" spans="1:19" s="19" customFormat="1" ht="12.75" x14ac:dyDescent="0.2">
      <c r="A16" s="84">
        <f t="shared" si="6"/>
        <v>2017</v>
      </c>
      <c r="B16" s="85">
        <v>43009</v>
      </c>
      <c r="C16" s="86">
        <f>VLOOKUP($B16,dados!$D$4:$U$272,2,FALSE)</f>
        <v>92.709059999999994</v>
      </c>
      <c r="D16" s="86">
        <f>VLOOKUP($B16,dados!$D$4:$U$272,3,FALSE)</f>
        <v>98.19408</v>
      </c>
      <c r="E16" s="86">
        <f>VLOOKUP($B16,dados!$D$4:$U$272,4,FALSE)</f>
        <v>81.764219999999995</v>
      </c>
      <c r="F16" s="86">
        <f>VLOOKUP($B16,dados!$D$4:$U$272,5,FALSE)</f>
        <v>108.14062</v>
      </c>
      <c r="G16" s="86">
        <f>VLOOKUP($B16,dados!$D$4:$U$272,6,FALSE)</f>
        <v>115.20372</v>
      </c>
      <c r="H16" s="86">
        <f>VLOOKUP($B16,dados!$D$4:$U$272,7,FALSE)</f>
        <v>156.09690000000001</v>
      </c>
      <c r="I16" s="86" t="str">
        <f>VLOOKUP($B16,dados!$D$4:$U$272,8,FALSE)</f>
        <v>-</v>
      </c>
      <c r="J16" s="86">
        <f>VLOOKUP($B16,dados!$D$4:$U$272,9,FALSE)</f>
        <v>105.35934</v>
      </c>
      <c r="K16" s="86">
        <f>VLOOKUP($B16,dados!$D$4:$U$272,10,FALSE)</f>
        <v>114.40748000000001</v>
      </c>
      <c r="L16" s="86">
        <f>VLOOKUP($B16,dados!$D$4:$U$272,11,FALSE)</f>
        <v>65.600729999999999</v>
      </c>
      <c r="M16" s="86">
        <f>VLOOKUP($B16,dados!$D$4:$U$272,12,FALSE)</f>
        <v>124.46405</v>
      </c>
      <c r="N16" s="86">
        <f>VLOOKUP($B16,dados!$D$4:$U$272,13,FALSE)</f>
        <v>60.322940000000003</v>
      </c>
      <c r="O16" s="86">
        <f>VLOOKUP($B16,dados!$D$4:$U$272,14,FALSE)</f>
        <v>119.64596</v>
      </c>
      <c r="P16" s="86">
        <f>VLOOKUP($B16,dados!$D$4:$U$272,15,FALSE)</f>
        <v>74.377899999999997</v>
      </c>
      <c r="Q16" s="86">
        <f>VLOOKUP($B16,dados!$D$4:$U$272,16,FALSE)</f>
        <v>114.23972000000001</v>
      </c>
      <c r="R16" s="86">
        <f>VLOOKUP($B16,dados!$D$4:$U$272,17,FALSE)</f>
        <v>66.662890000000004</v>
      </c>
      <c r="S16" s="87">
        <f>VLOOKUP($B16,dados!$D$4:$U$272,18,FALSE)</f>
        <v>140.16825</v>
      </c>
    </row>
    <row r="17" spans="1:19" s="19" customFormat="1" ht="12.75" x14ac:dyDescent="0.2">
      <c r="A17" s="84">
        <f t="shared" si="6"/>
        <v>2017</v>
      </c>
      <c r="B17" s="85">
        <v>43040</v>
      </c>
      <c r="C17" s="86">
        <f>VLOOKUP($B17,dados!$D$4:$U$272,2,FALSE)</f>
        <v>91.239339999999999</v>
      </c>
      <c r="D17" s="86">
        <f>VLOOKUP($B17,dados!$D$4:$U$272,3,FALSE)</f>
        <v>93.289730000000006</v>
      </c>
      <c r="E17" s="86">
        <f>VLOOKUP($B17,dados!$D$4:$U$272,4,FALSE)</f>
        <v>78.315489999999997</v>
      </c>
      <c r="F17" s="86">
        <f>VLOOKUP($B17,dados!$D$4:$U$272,5,FALSE)</f>
        <v>102.35505000000001</v>
      </c>
      <c r="G17" s="86">
        <f>VLOOKUP($B17,dados!$D$4:$U$272,6,FALSE)</f>
        <v>114.23939</v>
      </c>
      <c r="H17" s="86">
        <f>VLOOKUP($B17,dados!$D$4:$U$272,7,FALSE)</f>
        <v>156.87601000000001</v>
      </c>
      <c r="I17" s="86" t="str">
        <f>VLOOKUP($B17,dados!$D$4:$U$272,8,FALSE)</f>
        <v>-</v>
      </c>
      <c r="J17" s="86">
        <f>VLOOKUP($B17,dados!$D$4:$U$272,9,FALSE)</f>
        <v>89.382739999999998</v>
      </c>
      <c r="K17" s="86">
        <f>VLOOKUP($B17,dados!$D$4:$U$272,10,FALSE)</f>
        <v>123.96544</v>
      </c>
      <c r="L17" s="86">
        <f>VLOOKUP($B17,dados!$D$4:$U$272,11,FALSE)</f>
        <v>85.216319999999996</v>
      </c>
      <c r="M17" s="86">
        <f>VLOOKUP($B17,dados!$D$4:$U$272,12,FALSE)</f>
        <v>117.90873999999999</v>
      </c>
      <c r="N17" s="86">
        <f>VLOOKUP($B17,dados!$D$4:$U$272,13,FALSE)</f>
        <v>64.371499999999997</v>
      </c>
      <c r="O17" s="86">
        <f>VLOOKUP($B17,dados!$D$4:$U$272,14,FALSE)</f>
        <v>119.64825</v>
      </c>
      <c r="P17" s="86">
        <f>VLOOKUP($B17,dados!$D$4:$U$272,15,FALSE)</f>
        <v>79.052809999999994</v>
      </c>
      <c r="Q17" s="86">
        <f>VLOOKUP($B17,dados!$D$4:$U$272,16,FALSE)</f>
        <v>108.90366</v>
      </c>
      <c r="R17" s="86">
        <f>VLOOKUP($B17,dados!$D$4:$U$272,17,FALSE)</f>
        <v>68.217609999999993</v>
      </c>
      <c r="S17" s="87">
        <f>VLOOKUP($B17,dados!$D$4:$U$272,18,FALSE)</f>
        <v>130.08994999999999</v>
      </c>
    </row>
    <row r="18" spans="1:19" s="19" customFormat="1" ht="12.75" x14ac:dyDescent="0.2">
      <c r="A18" s="84">
        <f t="shared" si="6"/>
        <v>2017</v>
      </c>
      <c r="B18" s="85">
        <v>43070</v>
      </c>
      <c r="C18" s="86">
        <f>VLOOKUP($B18,dados!$D$4:$U$272,2,FALSE)</f>
        <v>90.406760000000006</v>
      </c>
      <c r="D18" s="86">
        <f>VLOOKUP($B18,dados!$D$4:$U$272,3,FALSE)</f>
        <v>91.264269999999996</v>
      </c>
      <c r="E18" s="86">
        <f>VLOOKUP($B18,dados!$D$4:$U$272,4,FALSE)</f>
        <v>77.946640000000002</v>
      </c>
      <c r="F18" s="86">
        <f>VLOOKUP($B18,dados!$D$4:$U$272,5,FALSE)</f>
        <v>99.326679999999996</v>
      </c>
      <c r="G18" s="86">
        <f>VLOOKUP($B18,dados!$D$4:$U$272,6,FALSE)</f>
        <v>122.89167999999999</v>
      </c>
      <c r="H18" s="86">
        <f>VLOOKUP($B18,dados!$D$4:$U$272,7,FALSE)</f>
        <v>160.84234000000001</v>
      </c>
      <c r="I18" s="86" t="str">
        <f>VLOOKUP($B18,dados!$D$4:$U$272,8,FALSE)</f>
        <v>-</v>
      </c>
      <c r="J18" s="86">
        <f>VLOOKUP($B18,dados!$D$4:$U$272,9,FALSE)</f>
        <v>99.878569999999996</v>
      </c>
      <c r="K18" s="86">
        <f>VLOOKUP($B18,dados!$D$4:$U$272,10,FALSE)</f>
        <v>105.91228</v>
      </c>
      <c r="L18" s="86">
        <f>VLOOKUP($B18,dados!$D$4:$U$272,11,FALSE)</f>
        <v>66.604370000000003</v>
      </c>
      <c r="M18" s="86">
        <f>VLOOKUP($B18,dados!$D$4:$U$272,12,FALSE)</f>
        <v>102.61887</v>
      </c>
      <c r="N18" s="86">
        <f>VLOOKUP($B18,dados!$D$4:$U$272,13,FALSE)</f>
        <v>55.800150000000002</v>
      </c>
      <c r="O18" s="86">
        <f>VLOOKUP($B18,dados!$D$4:$U$272,14,FALSE)</f>
        <v>106.85231</v>
      </c>
      <c r="P18" s="86">
        <f>VLOOKUP($B18,dados!$D$4:$U$272,15,FALSE)</f>
        <v>66.238939999999999</v>
      </c>
      <c r="Q18" s="86">
        <f>VLOOKUP($B18,dados!$D$4:$U$272,16,FALSE)</f>
        <v>84.716070000000002</v>
      </c>
      <c r="R18" s="86">
        <f>VLOOKUP($B18,dados!$D$4:$U$272,17,FALSE)</f>
        <v>52.903379999999999</v>
      </c>
      <c r="S18" s="87">
        <f>VLOOKUP($B18,dados!$D$4:$U$272,18,FALSE)</f>
        <v>132.93401</v>
      </c>
    </row>
    <row r="19" spans="1:19" s="19" customFormat="1" ht="12.75" x14ac:dyDescent="0.2">
      <c r="A19" s="84"/>
      <c r="B19" s="85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7"/>
    </row>
    <row r="20" spans="1:19" s="19" customFormat="1" ht="12.75" x14ac:dyDescent="0.2">
      <c r="A20" s="88">
        <f>A21</f>
        <v>2018</v>
      </c>
      <c r="B20" s="89" t="s">
        <v>6</v>
      </c>
      <c r="C20" s="90">
        <f>SUM(C21:C32)</f>
        <v>1080.1252200000001</v>
      </c>
      <c r="D20" s="90">
        <f t="shared" ref="D20" si="7">SUM(D21:D32)</f>
        <v>1080.3256999999999</v>
      </c>
      <c r="E20" s="90">
        <f t="shared" ref="E20:S20" si="8">SUM(E21:E32)</f>
        <v>924.10418000000004</v>
      </c>
      <c r="F20" s="90">
        <f t="shared" si="8"/>
        <v>1174.90128</v>
      </c>
      <c r="G20" s="90">
        <f t="shared" si="8"/>
        <v>1547.39084</v>
      </c>
      <c r="H20" s="90">
        <f t="shared" ref="H20:I20" si="9">SUM(H21:H32)</f>
        <v>1423.91588</v>
      </c>
      <c r="I20" s="90">
        <f t="shared" si="9"/>
        <v>0</v>
      </c>
      <c r="J20" s="90">
        <f t="shared" si="8"/>
        <v>1121.4607599999999</v>
      </c>
      <c r="K20" s="90">
        <f t="shared" ref="K20:L20" si="10">SUM(K21:K32)</f>
        <v>1282.6800800000001</v>
      </c>
      <c r="L20" s="90">
        <f t="shared" si="10"/>
        <v>892.77269999999987</v>
      </c>
      <c r="M20" s="90">
        <f t="shared" si="8"/>
        <v>1278.5202300000001</v>
      </c>
      <c r="N20" s="90">
        <f t="shared" ref="N20:O20" si="11">SUM(N21:N32)</f>
        <v>857.65661</v>
      </c>
      <c r="O20" s="90">
        <f t="shared" si="11"/>
        <v>1310.2974899999999</v>
      </c>
      <c r="P20" s="90">
        <f t="shared" si="8"/>
        <v>834.71914000000004</v>
      </c>
      <c r="Q20" s="90">
        <f t="shared" ref="Q20:R20" si="12">SUM(Q21:Q32)</f>
        <v>1233.9887500000002</v>
      </c>
      <c r="R20" s="90">
        <f t="shared" si="12"/>
        <v>445.18617999999998</v>
      </c>
      <c r="S20" s="91">
        <f t="shared" si="8"/>
        <v>1436.5476099999998</v>
      </c>
    </row>
    <row r="21" spans="1:19" s="19" customFormat="1" ht="12.75" x14ac:dyDescent="0.2">
      <c r="A21" s="84">
        <f t="shared" si="6"/>
        <v>2018</v>
      </c>
      <c r="B21" s="85">
        <v>43101</v>
      </c>
      <c r="C21" s="86">
        <f>VLOOKUP($B21,dados!$D$4:$U$272,2,FALSE)</f>
        <v>90.346419999999995</v>
      </c>
      <c r="D21" s="86">
        <f>VLOOKUP($B21,dados!$D$4:$U$272,3,FALSE)</f>
        <v>91.447999999999993</v>
      </c>
      <c r="E21" s="86">
        <f>VLOOKUP($B21,dados!$D$4:$U$272,4,FALSE)</f>
        <v>80.235150000000004</v>
      </c>
      <c r="F21" s="86">
        <f>VLOOKUP($B21,dados!$D$4:$U$272,5,FALSE)</f>
        <v>98.236180000000004</v>
      </c>
      <c r="G21" s="86">
        <f>VLOOKUP($B21,dados!$D$4:$U$272,6,FALSE)</f>
        <v>129.34644</v>
      </c>
      <c r="H21" s="86">
        <f>VLOOKUP($B21,dados!$D$4:$U$272,7,FALSE)</f>
        <v>131.32400000000001</v>
      </c>
      <c r="I21" s="86" t="str">
        <f>VLOOKUP($B21,dados!$D$4:$U$272,8,FALSE)</f>
        <v>-</v>
      </c>
      <c r="J21" s="86">
        <f>VLOOKUP($B21,dados!$D$4:$U$272,9,FALSE)</f>
        <v>95.037130000000005</v>
      </c>
      <c r="K21" s="86">
        <f>VLOOKUP($B21,dados!$D$4:$U$272,10,FALSE)</f>
        <v>93.534170000000003</v>
      </c>
      <c r="L21" s="86">
        <f>VLOOKUP($B21,dados!$D$4:$U$272,11,FALSE)</f>
        <v>63.192520000000002</v>
      </c>
      <c r="M21" s="86">
        <f>VLOOKUP($B21,dados!$D$4:$U$272,12,FALSE)</f>
        <v>111.94942</v>
      </c>
      <c r="N21" s="86">
        <f>VLOOKUP($B21,dados!$D$4:$U$272,13,FALSE)</f>
        <v>66.050229999999999</v>
      </c>
      <c r="O21" s="86">
        <f>VLOOKUP($B21,dados!$D$4:$U$272,14,FALSE)</f>
        <v>119.39534</v>
      </c>
      <c r="P21" s="86">
        <f>VLOOKUP($B21,dados!$D$4:$U$272,15,FALSE)</f>
        <v>63.323740000000001</v>
      </c>
      <c r="Q21" s="86">
        <f>VLOOKUP($B21,dados!$D$4:$U$272,16,FALSE)</f>
        <v>92.850909999999999</v>
      </c>
      <c r="R21" s="86">
        <f>VLOOKUP($B21,dados!$D$4:$U$272,17,FALSE)</f>
        <v>53.983780000000003</v>
      </c>
      <c r="S21" s="87">
        <f>VLOOKUP($B21,dados!$D$4:$U$272,18,FALSE)</f>
        <v>130.32504</v>
      </c>
    </row>
    <row r="22" spans="1:19" s="19" customFormat="1" ht="12.75" x14ac:dyDescent="0.2">
      <c r="A22" s="84">
        <f t="shared" si="6"/>
        <v>2018</v>
      </c>
      <c r="B22" s="85">
        <v>43132</v>
      </c>
      <c r="C22" s="86">
        <f>VLOOKUP($B22,dados!$D$4:$U$272,2,FALSE)</f>
        <v>89.942509999999999</v>
      </c>
      <c r="D22" s="86">
        <f>VLOOKUP($B22,dados!$D$4:$U$272,3,FALSE)</f>
        <v>82.913039999999995</v>
      </c>
      <c r="E22" s="86">
        <f>VLOOKUP($B22,dados!$D$4:$U$272,4,FALSE)</f>
        <v>72.442959999999999</v>
      </c>
      <c r="F22" s="86">
        <f>VLOOKUP($B22,dados!$D$4:$U$272,5,FALSE)</f>
        <v>89.251570000000001</v>
      </c>
      <c r="G22" s="86">
        <f>VLOOKUP($B22,dados!$D$4:$U$272,6,FALSE)</f>
        <v>96.454030000000003</v>
      </c>
      <c r="H22" s="86">
        <f>VLOOKUP($B22,dados!$D$4:$U$272,7,FALSE)</f>
        <v>136.30324999999999</v>
      </c>
      <c r="I22" s="86" t="str">
        <f>VLOOKUP($B22,dados!$D$4:$U$272,8,FALSE)</f>
        <v>-</v>
      </c>
      <c r="J22" s="86">
        <f>VLOOKUP($B22,dados!$D$4:$U$272,9,FALSE)</f>
        <v>84.937110000000004</v>
      </c>
      <c r="K22" s="86">
        <f>VLOOKUP($B22,dados!$D$4:$U$272,10,FALSE)</f>
        <v>87.611900000000006</v>
      </c>
      <c r="L22" s="86">
        <f>VLOOKUP($B22,dados!$D$4:$U$272,11,FALSE)</f>
        <v>57.460129999999999</v>
      </c>
      <c r="M22" s="86">
        <f>VLOOKUP($B22,dados!$D$4:$U$272,12,FALSE)</f>
        <v>85.905190000000005</v>
      </c>
      <c r="N22" s="86">
        <f>VLOOKUP($B22,dados!$D$4:$U$272,13,FALSE)</f>
        <v>59.143689999999999</v>
      </c>
      <c r="O22" s="86">
        <f>VLOOKUP($B22,dados!$D$4:$U$272,14,FALSE)</f>
        <v>107.47313</v>
      </c>
      <c r="P22" s="86">
        <f>VLOOKUP($B22,dados!$D$4:$U$272,15,FALSE)</f>
        <v>58.018729999999998</v>
      </c>
      <c r="Q22" s="86">
        <f>VLOOKUP($B22,dados!$D$4:$U$272,16,FALSE)</f>
        <v>99.57217</v>
      </c>
      <c r="R22" s="86">
        <f>VLOOKUP($B22,dados!$D$4:$U$272,17,FALSE)</f>
        <v>37.679290000000002</v>
      </c>
      <c r="S22" s="87">
        <f>VLOOKUP($B22,dados!$D$4:$U$272,18,FALSE)</f>
        <v>112.22645</v>
      </c>
    </row>
    <row r="23" spans="1:19" s="19" customFormat="1" ht="12.75" x14ac:dyDescent="0.2">
      <c r="A23" s="84">
        <f t="shared" si="6"/>
        <v>2018</v>
      </c>
      <c r="B23" s="85">
        <v>43160</v>
      </c>
      <c r="C23" s="86">
        <f>VLOOKUP($B23,dados!$D$4:$U$272,2,FALSE)</f>
        <v>88.87527</v>
      </c>
      <c r="D23" s="86">
        <f>VLOOKUP($B23,dados!$D$4:$U$272,3,FALSE)</f>
        <v>87.401809999999998</v>
      </c>
      <c r="E23" s="86">
        <f>VLOOKUP($B23,dados!$D$4:$U$272,4,FALSE)</f>
        <v>77.635509999999996</v>
      </c>
      <c r="F23" s="86">
        <f>VLOOKUP($B23,dados!$D$4:$U$272,5,FALSE)</f>
        <v>93.314279999999997</v>
      </c>
      <c r="G23" s="86">
        <f>VLOOKUP($B23,dados!$D$4:$U$272,6,FALSE)</f>
        <v>134.79184000000001</v>
      </c>
      <c r="H23" s="86">
        <f>VLOOKUP($B23,dados!$D$4:$U$272,7,FALSE)</f>
        <v>102.87309</v>
      </c>
      <c r="I23" s="86" t="str">
        <f>VLOOKUP($B23,dados!$D$4:$U$272,8,FALSE)</f>
        <v>-</v>
      </c>
      <c r="J23" s="86">
        <f>VLOOKUP($B23,dados!$D$4:$U$272,9,FALSE)</f>
        <v>76.102959999999996</v>
      </c>
      <c r="K23" s="86">
        <f>VLOOKUP($B23,dados!$D$4:$U$272,10,FALSE)</f>
        <v>96.651740000000004</v>
      </c>
      <c r="L23" s="86">
        <f>VLOOKUP($B23,dados!$D$4:$U$272,11,FALSE)</f>
        <v>67.289670000000001</v>
      </c>
      <c r="M23" s="86">
        <f>VLOOKUP($B23,dados!$D$4:$U$272,12,FALSE)</f>
        <v>114.77157</v>
      </c>
      <c r="N23" s="86">
        <f>VLOOKUP($B23,dados!$D$4:$U$272,13,FALSE)</f>
        <v>71.266729999999995</v>
      </c>
      <c r="O23" s="86">
        <f>VLOOKUP($B23,dados!$D$4:$U$272,14,FALSE)</f>
        <v>124.36489</v>
      </c>
      <c r="P23" s="86">
        <f>VLOOKUP($B23,dados!$D$4:$U$272,15,FALSE)</f>
        <v>70.750699999999995</v>
      </c>
      <c r="Q23" s="86">
        <f>VLOOKUP($B23,dados!$D$4:$U$272,16,FALSE)</f>
        <v>115.93217</v>
      </c>
      <c r="R23" s="86">
        <f>VLOOKUP($B23,dados!$D$4:$U$272,17,FALSE)</f>
        <v>48.260339999999999</v>
      </c>
      <c r="S23" s="87">
        <f>VLOOKUP($B23,dados!$D$4:$U$272,18,FALSE)</f>
        <v>124.07598</v>
      </c>
    </row>
    <row r="24" spans="1:19" s="19" customFormat="1" ht="12.75" x14ac:dyDescent="0.2">
      <c r="A24" s="84">
        <f t="shared" si="6"/>
        <v>2018</v>
      </c>
      <c r="B24" s="85">
        <v>43191</v>
      </c>
      <c r="C24" s="86">
        <f>VLOOKUP($B24,dados!$D$4:$U$272,2,FALSE)</f>
        <v>96.212569999999999</v>
      </c>
      <c r="D24" s="86">
        <f>VLOOKUP($B24,dados!$D$4:$U$272,3,FALSE)</f>
        <v>91.797030000000007</v>
      </c>
      <c r="E24" s="86">
        <f>VLOOKUP($B24,dados!$D$4:$U$272,4,FALSE)</f>
        <v>78.32217</v>
      </c>
      <c r="F24" s="86">
        <f>VLOOKUP($B24,dados!$D$4:$U$272,5,FALSE)</f>
        <v>99.954629999999995</v>
      </c>
      <c r="G24" s="86">
        <f>VLOOKUP($B24,dados!$D$4:$U$272,6,FALSE)</f>
        <v>115.70560999999999</v>
      </c>
      <c r="H24" s="86">
        <f>VLOOKUP($B24,dados!$D$4:$U$272,7,FALSE)</f>
        <v>94.163219999999995</v>
      </c>
      <c r="I24" s="86" t="str">
        <f>VLOOKUP($B24,dados!$D$4:$U$272,8,FALSE)</f>
        <v>-</v>
      </c>
      <c r="J24" s="86">
        <f>VLOOKUP($B24,dados!$D$4:$U$272,9,FALSE)</f>
        <v>100.94763</v>
      </c>
      <c r="K24" s="86">
        <f>VLOOKUP($B24,dados!$D$4:$U$272,10,FALSE)</f>
        <v>91.107690000000005</v>
      </c>
      <c r="L24" s="86">
        <f>VLOOKUP($B24,dados!$D$4:$U$272,11,FALSE)</f>
        <v>77.78098</v>
      </c>
      <c r="M24" s="86">
        <f>VLOOKUP($B24,dados!$D$4:$U$272,12,FALSE)</f>
        <v>115.94677</v>
      </c>
      <c r="N24" s="86">
        <f>VLOOKUP($B24,dados!$D$4:$U$272,13,FALSE)</f>
        <v>68.091639999999998</v>
      </c>
      <c r="O24" s="86">
        <f>VLOOKUP($B24,dados!$D$4:$U$272,14,FALSE)</f>
        <v>119.14702</v>
      </c>
      <c r="P24" s="86">
        <f>VLOOKUP($B24,dados!$D$4:$U$272,15,FALSE)</f>
        <v>56.445549999999997</v>
      </c>
      <c r="Q24" s="86">
        <f>VLOOKUP($B24,dados!$D$4:$U$272,16,FALSE)</f>
        <v>104.78919</v>
      </c>
      <c r="R24" s="86">
        <f>VLOOKUP($B24,dados!$D$4:$U$272,17,FALSE)</f>
        <v>46.360550000000003</v>
      </c>
      <c r="S24" s="87">
        <f>VLOOKUP($B24,dados!$D$4:$U$272,18,FALSE)</f>
        <v>126.71611</v>
      </c>
    </row>
    <row r="25" spans="1:19" s="19" customFormat="1" ht="12.75" x14ac:dyDescent="0.2">
      <c r="A25" s="84">
        <f t="shared" si="6"/>
        <v>2018</v>
      </c>
      <c r="B25" s="85">
        <v>43221</v>
      </c>
      <c r="C25" s="86">
        <f>VLOOKUP($B25,dados!$D$4:$U$272,2,FALSE)</f>
        <v>88.781409999999994</v>
      </c>
      <c r="D25" s="86">
        <f>VLOOKUP($B25,dados!$D$4:$U$272,3,FALSE)</f>
        <v>88.31035</v>
      </c>
      <c r="E25" s="86">
        <f>VLOOKUP($B25,dados!$D$4:$U$272,4,FALSE)</f>
        <v>79.565960000000004</v>
      </c>
      <c r="F25" s="86">
        <f>VLOOKUP($B25,dados!$D$4:$U$272,5,FALSE)</f>
        <v>93.604159999999993</v>
      </c>
      <c r="G25" s="86">
        <f>VLOOKUP($B25,dados!$D$4:$U$272,6,FALSE)</f>
        <v>100.41718</v>
      </c>
      <c r="H25" s="86">
        <f>VLOOKUP($B25,dados!$D$4:$U$272,7,FALSE)</f>
        <v>108.58073</v>
      </c>
      <c r="I25" s="86" t="str">
        <f>VLOOKUP($B25,dados!$D$4:$U$272,8,FALSE)</f>
        <v>-</v>
      </c>
      <c r="J25" s="86">
        <f>VLOOKUP($B25,dados!$D$4:$U$272,9,FALSE)</f>
        <v>95.328710000000001</v>
      </c>
      <c r="K25" s="86">
        <f>VLOOKUP($B25,dados!$D$4:$U$272,10,FALSE)</f>
        <v>92.093590000000006</v>
      </c>
      <c r="L25" s="86">
        <f>VLOOKUP($B25,dados!$D$4:$U$272,11,FALSE)</f>
        <v>72.740340000000003</v>
      </c>
      <c r="M25" s="86">
        <f>VLOOKUP($B25,dados!$D$4:$U$272,12,FALSE)</f>
        <v>97.98339</v>
      </c>
      <c r="N25" s="86">
        <f>VLOOKUP($B25,dados!$D$4:$U$272,13,FALSE)</f>
        <v>59.988190000000003</v>
      </c>
      <c r="O25" s="86">
        <f>VLOOKUP($B25,dados!$D$4:$U$272,14,FALSE)</f>
        <v>117.75319</v>
      </c>
      <c r="P25" s="86">
        <f>VLOOKUP($B25,dados!$D$4:$U$272,15,FALSE)</f>
        <v>66.297190000000001</v>
      </c>
      <c r="Q25" s="86">
        <f>VLOOKUP($B25,dados!$D$4:$U$272,16,FALSE)</f>
        <v>73.774060000000006</v>
      </c>
      <c r="R25" s="86">
        <f>VLOOKUP($B25,dados!$D$4:$U$272,17,FALSE)</f>
        <v>49.750860000000003</v>
      </c>
      <c r="S25" s="87">
        <f>VLOOKUP($B25,dados!$D$4:$U$272,18,FALSE)</f>
        <v>126.7769</v>
      </c>
    </row>
    <row r="26" spans="1:19" s="19" customFormat="1" ht="12.75" x14ac:dyDescent="0.2">
      <c r="A26" s="84">
        <f t="shared" si="6"/>
        <v>2018</v>
      </c>
      <c r="B26" s="85">
        <v>43252</v>
      </c>
      <c r="C26" s="86">
        <f>VLOOKUP($B26,dados!$D$4:$U$272,2,FALSE)</f>
        <v>91.321389999999994</v>
      </c>
      <c r="D26" s="86">
        <f>VLOOKUP($B26,dados!$D$4:$U$272,3,FALSE)</f>
        <v>89.663730000000001</v>
      </c>
      <c r="E26" s="86">
        <f>VLOOKUP($B26,dados!$D$4:$U$272,4,FALSE)</f>
        <v>75.710939999999994</v>
      </c>
      <c r="F26" s="86">
        <f>VLOOKUP($B26,dados!$D$4:$U$272,5,FALSE)</f>
        <v>98.110669999999999</v>
      </c>
      <c r="G26" s="86">
        <f>VLOOKUP($B26,dados!$D$4:$U$272,6,FALSE)</f>
        <v>117.52003000000001</v>
      </c>
      <c r="H26" s="86">
        <f>VLOOKUP($B26,dados!$D$4:$U$272,7,FALSE)</f>
        <v>105.90937</v>
      </c>
      <c r="I26" s="86" t="str">
        <f>VLOOKUP($B26,dados!$D$4:$U$272,8,FALSE)</f>
        <v>-</v>
      </c>
      <c r="J26" s="86">
        <f>VLOOKUP($B26,dados!$D$4:$U$272,9,FALSE)</f>
        <v>94.139399999999995</v>
      </c>
      <c r="K26" s="86">
        <f>VLOOKUP($B26,dados!$D$4:$U$272,10,FALSE)</f>
        <v>111.55244</v>
      </c>
      <c r="L26" s="86">
        <f>VLOOKUP($B26,dados!$D$4:$U$272,11,FALSE)</f>
        <v>84.856880000000004</v>
      </c>
      <c r="M26" s="86">
        <f>VLOOKUP($B26,dados!$D$4:$U$272,12,FALSE)</f>
        <v>91.258430000000004</v>
      </c>
      <c r="N26" s="86">
        <f>VLOOKUP($B26,dados!$D$4:$U$272,13,FALSE)</f>
        <v>78.480519999999999</v>
      </c>
      <c r="O26" s="86">
        <f>VLOOKUP($B26,dados!$D$4:$U$272,14,FALSE)</f>
        <v>98.306219999999996</v>
      </c>
      <c r="P26" s="86">
        <f>VLOOKUP($B26,dados!$D$4:$U$272,15,FALSE)</f>
        <v>61.857880000000002</v>
      </c>
      <c r="Q26" s="86">
        <f>VLOOKUP($B26,dados!$D$4:$U$272,16,FALSE)</f>
        <v>116.61682999999999</v>
      </c>
      <c r="R26" s="86">
        <f>VLOOKUP($B26,dados!$D$4:$U$272,17,FALSE)</f>
        <v>40.559939999999997</v>
      </c>
      <c r="S26" s="87">
        <f>VLOOKUP($B26,dados!$D$4:$U$272,18,FALSE)</f>
        <v>134.52549999999999</v>
      </c>
    </row>
    <row r="27" spans="1:19" s="19" customFormat="1" ht="12.75" x14ac:dyDescent="0.2">
      <c r="A27" s="84">
        <f t="shared" si="6"/>
        <v>2018</v>
      </c>
      <c r="B27" s="85">
        <v>43282</v>
      </c>
      <c r="C27" s="86">
        <f>VLOOKUP($B27,dados!$D$4:$U$272,2,FALSE)</f>
        <v>89.531120000000001</v>
      </c>
      <c r="D27" s="86">
        <f>VLOOKUP($B27,dados!$D$4:$U$272,3,FALSE)</f>
        <v>92.847390000000004</v>
      </c>
      <c r="E27" s="86">
        <f>VLOOKUP($B27,dados!$D$4:$U$272,4,FALSE)</f>
        <v>77.719880000000003</v>
      </c>
      <c r="F27" s="86">
        <f>VLOOKUP($B27,dados!$D$4:$U$272,5,FALSE)</f>
        <v>102.00548999999999</v>
      </c>
      <c r="G27" s="86">
        <f>VLOOKUP($B27,dados!$D$4:$U$272,6,FALSE)</f>
        <v>123.85645</v>
      </c>
      <c r="H27" s="86">
        <f>VLOOKUP($B27,dados!$D$4:$U$272,7,FALSE)</f>
        <v>118.71913000000001</v>
      </c>
      <c r="I27" s="86" t="str">
        <f>VLOOKUP($B27,dados!$D$4:$U$272,8,FALSE)</f>
        <v>-</v>
      </c>
      <c r="J27" s="86">
        <f>VLOOKUP($B27,dados!$D$4:$U$272,9,FALSE)</f>
        <v>100.58487</v>
      </c>
      <c r="K27" s="86">
        <f>VLOOKUP($B27,dados!$D$4:$U$272,10,FALSE)</f>
        <v>105.98227</v>
      </c>
      <c r="L27" s="86">
        <f>VLOOKUP($B27,dados!$D$4:$U$272,11,FALSE)</f>
        <v>74.590199999999996</v>
      </c>
      <c r="M27" s="86">
        <f>VLOOKUP($B27,dados!$D$4:$U$272,12,FALSE)</f>
        <v>110.27218999999999</v>
      </c>
      <c r="N27" s="86">
        <f>VLOOKUP($B27,dados!$D$4:$U$272,13,FALSE)</f>
        <v>80.434380000000004</v>
      </c>
      <c r="O27" s="86">
        <f>VLOOKUP($B27,dados!$D$4:$U$272,14,FALSE)</f>
        <v>109.08168000000001</v>
      </c>
      <c r="P27" s="86">
        <f>VLOOKUP($B27,dados!$D$4:$U$272,15,FALSE)</f>
        <v>63.288240000000002</v>
      </c>
      <c r="Q27" s="86">
        <f>VLOOKUP($B27,dados!$D$4:$U$272,16,FALSE)</f>
        <v>118.21665</v>
      </c>
      <c r="R27" s="86">
        <f>VLOOKUP($B27,dados!$D$4:$U$272,17,FALSE)</f>
        <v>40.961480000000002</v>
      </c>
      <c r="S27" s="87">
        <f>VLOOKUP($B27,dados!$D$4:$U$272,18,FALSE)</f>
        <v>114.28017</v>
      </c>
    </row>
    <row r="28" spans="1:19" s="19" customFormat="1" ht="12.75" x14ac:dyDescent="0.2">
      <c r="A28" s="84">
        <f t="shared" si="6"/>
        <v>2018</v>
      </c>
      <c r="B28" s="85">
        <v>43313</v>
      </c>
      <c r="C28" s="86">
        <f>VLOOKUP($B28,dados!$D$4:$U$272,2,FALSE)</f>
        <v>89.731949999999998</v>
      </c>
      <c r="D28" s="86">
        <f>VLOOKUP($B28,dados!$D$4:$U$272,3,FALSE)</f>
        <v>92.299539999999993</v>
      </c>
      <c r="E28" s="86">
        <f>VLOOKUP($B28,dados!$D$4:$U$272,4,FALSE)</f>
        <v>72.958669999999998</v>
      </c>
      <c r="F28" s="86">
        <f>VLOOKUP($B28,dados!$D$4:$U$272,5,FALSE)</f>
        <v>104.00839000000001</v>
      </c>
      <c r="G28" s="86">
        <f>VLOOKUP($B28,dados!$D$4:$U$272,6,FALSE)</f>
        <v>120.68658000000001</v>
      </c>
      <c r="H28" s="86">
        <f>VLOOKUP($B28,dados!$D$4:$U$272,7,FALSE)</f>
        <v>112.33447</v>
      </c>
      <c r="I28" s="86" t="str">
        <f>VLOOKUP($B28,dados!$D$4:$U$272,8,FALSE)</f>
        <v>-</v>
      </c>
      <c r="J28" s="86">
        <f>VLOOKUP($B28,dados!$D$4:$U$272,9,FALSE)</f>
        <v>100.31698</v>
      </c>
      <c r="K28" s="86">
        <f>VLOOKUP($B28,dados!$D$4:$U$272,10,FALSE)</f>
        <v>134.49485000000001</v>
      </c>
      <c r="L28" s="86">
        <f>VLOOKUP($B28,dados!$D$4:$U$272,11,FALSE)</f>
        <v>90.003129999999999</v>
      </c>
      <c r="M28" s="86">
        <f>VLOOKUP($B28,dados!$D$4:$U$272,12,FALSE)</f>
        <v>107.57377</v>
      </c>
      <c r="N28" s="86">
        <f>VLOOKUP($B28,dados!$D$4:$U$272,13,FALSE)</f>
        <v>77.513120000000001</v>
      </c>
      <c r="O28" s="86">
        <f>VLOOKUP($B28,dados!$D$4:$U$272,14,FALSE)</f>
        <v>94.889830000000003</v>
      </c>
      <c r="P28" s="86">
        <f>VLOOKUP($B28,dados!$D$4:$U$272,15,FALSE)</f>
        <v>68.471760000000003</v>
      </c>
      <c r="Q28" s="86">
        <f>VLOOKUP($B28,dados!$D$4:$U$272,16,FALSE)</f>
        <v>129.45627999999999</v>
      </c>
      <c r="R28" s="86">
        <f>VLOOKUP($B28,dados!$D$4:$U$272,17,FALSE)</f>
        <v>36.397280000000002</v>
      </c>
      <c r="S28" s="87">
        <f>VLOOKUP($B28,dados!$D$4:$U$272,18,FALSE)</f>
        <v>127.79953</v>
      </c>
    </row>
    <row r="29" spans="1:19" s="19" customFormat="1" ht="12.75" x14ac:dyDescent="0.2">
      <c r="A29" s="84">
        <f t="shared" si="6"/>
        <v>2018</v>
      </c>
      <c r="B29" s="85">
        <v>43344</v>
      </c>
      <c r="C29" s="86">
        <f>VLOOKUP($B29,dados!$D$4:$U$272,2,FALSE)</f>
        <v>87.765429999999995</v>
      </c>
      <c r="D29" s="86">
        <f>VLOOKUP($B29,dados!$D$4:$U$272,3,FALSE)</f>
        <v>88.093940000000003</v>
      </c>
      <c r="E29" s="86">
        <f>VLOOKUP($B29,dados!$D$4:$U$272,4,FALSE)</f>
        <v>71.756309999999999</v>
      </c>
      <c r="F29" s="86">
        <f>VLOOKUP($B29,dados!$D$4:$U$272,5,FALSE)</f>
        <v>97.984639999999999</v>
      </c>
      <c r="G29" s="86">
        <f>VLOOKUP($B29,dados!$D$4:$U$272,6,FALSE)</f>
        <v>135.2133</v>
      </c>
      <c r="H29" s="86">
        <f>VLOOKUP($B29,dados!$D$4:$U$272,7,FALSE)</f>
        <v>106.64116</v>
      </c>
      <c r="I29" s="86" t="str">
        <f>VLOOKUP($B29,dados!$D$4:$U$272,8,FALSE)</f>
        <v>-</v>
      </c>
      <c r="J29" s="86">
        <f>VLOOKUP($B29,dados!$D$4:$U$272,9,FALSE)</f>
        <v>94.251710000000003</v>
      </c>
      <c r="K29" s="86">
        <f>VLOOKUP($B29,dados!$D$4:$U$272,10,FALSE)</f>
        <v>129.49062000000001</v>
      </c>
      <c r="L29" s="86">
        <f>VLOOKUP($B29,dados!$D$4:$U$272,11,FALSE)</f>
        <v>63.970370000000003</v>
      </c>
      <c r="M29" s="86">
        <f>VLOOKUP($B29,dados!$D$4:$U$272,12,FALSE)</f>
        <v>109.9256</v>
      </c>
      <c r="N29" s="86">
        <f>VLOOKUP($B29,dados!$D$4:$U$272,13,FALSE)</f>
        <v>77.591120000000004</v>
      </c>
      <c r="O29" s="86">
        <f>VLOOKUP($B29,dados!$D$4:$U$272,14,FALSE)</f>
        <v>104.45523</v>
      </c>
      <c r="P29" s="86">
        <f>VLOOKUP($B29,dados!$D$4:$U$272,15,FALSE)</f>
        <v>77.837339999999998</v>
      </c>
      <c r="Q29" s="86">
        <f>VLOOKUP($B29,dados!$D$4:$U$272,16,FALSE)</f>
        <v>100.27813</v>
      </c>
      <c r="R29" s="86">
        <f>VLOOKUP($B29,dados!$D$4:$U$272,17,FALSE)</f>
        <v>25.857430000000001</v>
      </c>
      <c r="S29" s="87">
        <f>VLOOKUP($B29,dados!$D$4:$U$272,18,FALSE)</f>
        <v>114.35635000000001</v>
      </c>
    </row>
    <row r="30" spans="1:19" s="19" customFormat="1" ht="12.75" x14ac:dyDescent="0.2">
      <c r="A30" s="84">
        <f t="shared" si="6"/>
        <v>2018</v>
      </c>
      <c r="B30" s="85">
        <v>43374</v>
      </c>
      <c r="C30" s="86">
        <f>VLOOKUP($B30,dados!$D$4:$U$272,2,FALSE)</f>
        <v>89.738420000000005</v>
      </c>
      <c r="D30" s="86">
        <f>VLOOKUP($B30,dados!$D$4:$U$272,3,FALSE)</f>
        <v>95.406859999999995</v>
      </c>
      <c r="E30" s="86">
        <f>VLOOKUP($B30,dados!$D$4:$U$272,4,FALSE)</f>
        <v>78.264420000000001</v>
      </c>
      <c r="F30" s="86">
        <f>VLOOKUP($B30,dados!$D$4:$U$272,5,FALSE)</f>
        <v>105.78479</v>
      </c>
      <c r="G30" s="86">
        <f>VLOOKUP($B30,dados!$D$4:$U$272,6,FALSE)</f>
        <v>156.18796</v>
      </c>
      <c r="H30" s="86">
        <f>VLOOKUP($B30,dados!$D$4:$U$272,7,FALSE)</f>
        <v>126.3372</v>
      </c>
      <c r="I30" s="86" t="str">
        <f>VLOOKUP($B30,dados!$D$4:$U$272,8,FALSE)</f>
        <v>-</v>
      </c>
      <c r="J30" s="86">
        <f>VLOOKUP($B30,dados!$D$4:$U$272,9,FALSE)</f>
        <v>101.16906</v>
      </c>
      <c r="K30" s="86">
        <f>VLOOKUP($B30,dados!$D$4:$U$272,10,FALSE)</f>
        <v>124.47226000000001</v>
      </c>
      <c r="L30" s="86">
        <f>VLOOKUP($B30,dados!$D$4:$U$272,11,FALSE)</f>
        <v>75.143159999999995</v>
      </c>
      <c r="M30" s="86">
        <f>VLOOKUP($B30,dados!$D$4:$U$272,12,FALSE)</f>
        <v>123.87371</v>
      </c>
      <c r="N30" s="86">
        <f>VLOOKUP($B30,dados!$D$4:$U$272,13,FALSE)</f>
        <v>73.371830000000003</v>
      </c>
      <c r="O30" s="86">
        <f>VLOOKUP($B30,dados!$D$4:$U$272,14,FALSE)</f>
        <v>108.62560999999999</v>
      </c>
      <c r="P30" s="86">
        <f>VLOOKUP($B30,dados!$D$4:$U$272,15,FALSE)</f>
        <v>104.11502</v>
      </c>
      <c r="Q30" s="86">
        <f>VLOOKUP($B30,dados!$D$4:$U$272,16,FALSE)</f>
        <v>112.47117</v>
      </c>
      <c r="R30" s="86">
        <f>VLOOKUP($B30,dados!$D$4:$U$272,17,FALSE)</f>
        <v>26.09103</v>
      </c>
      <c r="S30" s="87">
        <f>VLOOKUP($B30,dados!$D$4:$U$272,18,FALSE)</f>
        <v>103.60836999999999</v>
      </c>
    </row>
    <row r="31" spans="1:19" s="19" customFormat="1" ht="12.75" x14ac:dyDescent="0.2">
      <c r="A31" s="84">
        <f t="shared" si="6"/>
        <v>2018</v>
      </c>
      <c r="B31" s="85">
        <v>43405</v>
      </c>
      <c r="C31" s="86">
        <f>VLOOKUP($B31,dados!$D$4:$U$272,2,FALSE)</f>
        <v>86.88552</v>
      </c>
      <c r="D31" s="86">
        <f>VLOOKUP($B31,dados!$D$4:$U$272,3,FALSE)</f>
        <v>88.698440000000005</v>
      </c>
      <c r="E31" s="86">
        <f>VLOOKUP($B31,dados!$D$4:$U$272,4,FALSE)</f>
        <v>76.541499999999999</v>
      </c>
      <c r="F31" s="86">
        <f>VLOOKUP($B31,dados!$D$4:$U$272,5,FALSE)</f>
        <v>96.058179999999993</v>
      </c>
      <c r="G31" s="86">
        <f>VLOOKUP($B31,dados!$D$4:$U$272,6,FALSE)</f>
        <v>147.13998000000001</v>
      </c>
      <c r="H31" s="86">
        <f>VLOOKUP($B31,dados!$D$4:$U$272,7,FALSE)</f>
        <v>128.15424999999999</v>
      </c>
      <c r="I31" s="86" t="str">
        <f>VLOOKUP($B31,dados!$D$4:$U$272,8,FALSE)</f>
        <v>-</v>
      </c>
      <c r="J31" s="86">
        <f>VLOOKUP($B31,dados!$D$4:$U$272,9,FALSE)</f>
        <v>86.767330000000001</v>
      </c>
      <c r="K31" s="86">
        <f>VLOOKUP($B31,dados!$D$4:$U$272,10,FALSE)</f>
        <v>123.9089</v>
      </c>
      <c r="L31" s="86">
        <f>VLOOKUP($B31,dados!$D$4:$U$272,11,FALSE)</f>
        <v>66.319929999999999</v>
      </c>
      <c r="M31" s="86">
        <f>VLOOKUP($B31,dados!$D$4:$U$272,12,FALSE)</f>
        <v>109.17407</v>
      </c>
      <c r="N31" s="86">
        <f>VLOOKUP($B31,dados!$D$4:$U$272,13,FALSE)</f>
        <v>72.320070000000001</v>
      </c>
      <c r="O31" s="86">
        <f>VLOOKUP($B31,dados!$D$4:$U$272,14,FALSE)</f>
        <v>105.24817</v>
      </c>
      <c r="P31" s="86">
        <f>VLOOKUP($B31,dados!$D$4:$U$272,15,FALSE)</f>
        <v>76.211320000000001</v>
      </c>
      <c r="Q31" s="86">
        <f>VLOOKUP($B31,dados!$D$4:$U$272,16,FALSE)</f>
        <v>98.3429</v>
      </c>
      <c r="R31" s="86">
        <f>VLOOKUP($B31,dados!$D$4:$U$272,17,FALSE)</f>
        <v>23.696840000000002</v>
      </c>
      <c r="S31" s="87">
        <f>VLOOKUP($B31,dados!$D$4:$U$272,18,FALSE)</f>
        <v>113.82514</v>
      </c>
    </row>
    <row r="32" spans="1:19" s="19" customFormat="1" ht="12.75" x14ac:dyDescent="0.2">
      <c r="A32" s="84">
        <f t="shared" si="6"/>
        <v>2018</v>
      </c>
      <c r="B32" s="85">
        <v>43435</v>
      </c>
      <c r="C32" s="86">
        <f>VLOOKUP($B32,dados!$D$4:$U$272,2,FALSE)</f>
        <v>90.993210000000005</v>
      </c>
      <c r="D32" s="86">
        <f>VLOOKUP($B32,dados!$D$4:$U$272,3,FALSE)</f>
        <v>91.445570000000004</v>
      </c>
      <c r="E32" s="86">
        <f>VLOOKUP($B32,dados!$D$4:$U$272,4,FALSE)</f>
        <v>82.950710000000001</v>
      </c>
      <c r="F32" s="86">
        <f>VLOOKUP($B32,dados!$D$4:$U$272,5,FALSE)</f>
        <v>96.588300000000004</v>
      </c>
      <c r="G32" s="86">
        <f>VLOOKUP($B32,dados!$D$4:$U$272,6,FALSE)</f>
        <v>170.07144</v>
      </c>
      <c r="H32" s="86">
        <f>VLOOKUP($B32,dados!$D$4:$U$272,7,FALSE)</f>
        <v>152.57601</v>
      </c>
      <c r="I32" s="86" t="str">
        <f>VLOOKUP($B32,dados!$D$4:$U$272,8,FALSE)</f>
        <v>-</v>
      </c>
      <c r="J32" s="86">
        <f>VLOOKUP($B32,dados!$D$4:$U$272,9,FALSE)</f>
        <v>91.877870000000001</v>
      </c>
      <c r="K32" s="86">
        <f>VLOOKUP($B32,dados!$D$4:$U$272,10,FALSE)</f>
        <v>91.779650000000004</v>
      </c>
      <c r="L32" s="86">
        <f>VLOOKUP($B32,dados!$D$4:$U$272,11,FALSE)</f>
        <v>99.425389999999993</v>
      </c>
      <c r="M32" s="86">
        <f>VLOOKUP($B32,dados!$D$4:$U$272,12,FALSE)</f>
        <v>99.886120000000005</v>
      </c>
      <c r="N32" s="86">
        <f>VLOOKUP($B32,dados!$D$4:$U$272,13,FALSE)</f>
        <v>73.405090000000001</v>
      </c>
      <c r="O32" s="86">
        <f>VLOOKUP($B32,dados!$D$4:$U$272,14,FALSE)</f>
        <v>101.55718</v>
      </c>
      <c r="P32" s="86">
        <f>VLOOKUP($B32,dados!$D$4:$U$272,15,FALSE)</f>
        <v>68.101669999999999</v>
      </c>
      <c r="Q32" s="86">
        <f>VLOOKUP($B32,dados!$D$4:$U$272,16,FALSE)</f>
        <v>71.688289999999995</v>
      </c>
      <c r="R32" s="86">
        <f>VLOOKUP($B32,dados!$D$4:$U$272,17,FALSE)</f>
        <v>15.58736</v>
      </c>
      <c r="S32" s="87">
        <f>VLOOKUP($B32,dados!$D$4:$U$272,18,FALSE)</f>
        <v>108.03207</v>
      </c>
    </row>
    <row r="33" spans="1:19" s="19" customFormat="1" ht="12.75" x14ac:dyDescent="0.2">
      <c r="A33" s="84"/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/>
    </row>
    <row r="34" spans="1:19" s="19" customFormat="1" ht="12.75" x14ac:dyDescent="0.2">
      <c r="A34" s="88">
        <f>A35</f>
        <v>2019</v>
      </c>
      <c r="B34" s="89" t="s">
        <v>6</v>
      </c>
      <c r="C34" s="90">
        <f>SUM(C35:C46)</f>
        <v>1101.1148200000002</v>
      </c>
      <c r="D34" s="90">
        <f t="shared" ref="D34:S34" si="13">SUM(D35:D100)</f>
        <v>9622.8255800000024</v>
      </c>
      <c r="E34" s="90">
        <f t="shared" si="13"/>
        <v>9795.9406299999991</v>
      </c>
      <c r="F34" s="90">
        <f t="shared" si="13"/>
        <v>9495.1879700000027</v>
      </c>
      <c r="G34" s="90">
        <f t="shared" si="13"/>
        <v>10024.289529999998</v>
      </c>
      <c r="H34" s="90">
        <f t="shared" si="13"/>
        <v>10559.546869999998</v>
      </c>
      <c r="I34" s="90">
        <f t="shared" si="13"/>
        <v>0</v>
      </c>
      <c r="J34" s="90">
        <f t="shared" si="13"/>
        <v>9596.9820299999992</v>
      </c>
      <c r="K34" s="90">
        <f t="shared" si="13"/>
        <v>9476.2667400000028</v>
      </c>
      <c r="L34" s="90">
        <f t="shared" si="13"/>
        <v>7830.2249099999999</v>
      </c>
      <c r="M34" s="90">
        <f t="shared" si="13"/>
        <v>9830.0236000000004</v>
      </c>
      <c r="N34" s="90">
        <f t="shared" si="13"/>
        <v>9242.49575</v>
      </c>
      <c r="O34" s="90">
        <f t="shared" si="13"/>
        <v>10157.225190000001</v>
      </c>
      <c r="P34" s="90">
        <f t="shared" si="13"/>
        <v>8957.0870500000001</v>
      </c>
      <c r="Q34" s="90">
        <f t="shared" si="13"/>
        <v>9005.9204299999947</v>
      </c>
      <c r="R34" s="90">
        <f t="shared" si="13"/>
        <v>7170.4814699999997</v>
      </c>
      <c r="S34" s="91">
        <f t="shared" si="13"/>
        <v>10075.215379999998</v>
      </c>
    </row>
    <row r="35" spans="1:19" s="19" customFormat="1" ht="12.75" x14ac:dyDescent="0.2">
      <c r="A35" s="84">
        <f t="shared" si="6"/>
        <v>2019</v>
      </c>
      <c r="B35" s="85">
        <v>43466</v>
      </c>
      <c r="C35" s="86">
        <f>VLOOKUP($B35,dados!$D$4:$U$272,2,FALSE)</f>
        <v>89.147989999999993</v>
      </c>
      <c r="D35" s="86">
        <f>VLOOKUP($B35,dados!$D$4:$U$272,3,FALSE)</f>
        <v>90.352159999999998</v>
      </c>
      <c r="E35" s="86">
        <f>VLOOKUP($B35,dados!$D$4:$U$272,4,FALSE)</f>
        <v>81.398099999999999</v>
      </c>
      <c r="F35" s="86">
        <f>VLOOKUP($B35,dados!$D$4:$U$272,5,FALSE)</f>
        <v>95.772890000000004</v>
      </c>
      <c r="G35" s="86">
        <f>VLOOKUP($B35,dados!$D$4:$U$272,6,FALSE)</f>
        <v>172.02447000000001</v>
      </c>
      <c r="H35" s="86">
        <f>VLOOKUP($B35,dados!$D$4:$U$272,7,FALSE)</f>
        <v>136.64472000000001</v>
      </c>
      <c r="I35" s="86" t="str">
        <f>VLOOKUP($B35,dados!$D$4:$U$272,8,FALSE)</f>
        <v>-</v>
      </c>
      <c r="J35" s="86">
        <f>VLOOKUP($B35,dados!$D$4:$U$272,9,FALSE)</f>
        <v>87.769819999999996</v>
      </c>
      <c r="K35" s="86">
        <f>VLOOKUP($B35,dados!$D$4:$U$272,10,FALSE)</f>
        <v>95.309269999999998</v>
      </c>
      <c r="L35" s="86">
        <f>VLOOKUP($B35,dados!$D$4:$U$272,11,FALSE)</f>
        <v>72.384960000000007</v>
      </c>
      <c r="M35" s="86">
        <f>VLOOKUP($B35,dados!$D$4:$U$272,12,FALSE)</f>
        <v>110.68745</v>
      </c>
      <c r="N35" s="86">
        <f>VLOOKUP($B35,dados!$D$4:$U$272,13,FALSE)</f>
        <v>68.799539999999993</v>
      </c>
      <c r="O35" s="86">
        <f>VLOOKUP($B35,dados!$D$4:$U$272,14,FALSE)</f>
        <v>108.06965</v>
      </c>
      <c r="P35" s="86">
        <f>VLOOKUP($B35,dados!$D$4:$U$272,15,FALSE)</f>
        <v>65.157150000000001</v>
      </c>
      <c r="Q35" s="86">
        <f>VLOOKUP($B35,dados!$D$4:$U$272,16,FALSE)</f>
        <v>90.646159999999995</v>
      </c>
      <c r="R35" s="86">
        <f>VLOOKUP($B35,dados!$D$4:$U$272,17,FALSE)</f>
        <v>22.190429999999999</v>
      </c>
      <c r="S35" s="87">
        <f>VLOOKUP($B35,dados!$D$4:$U$272,18,FALSE)</f>
        <v>113.95668999999999</v>
      </c>
    </row>
    <row r="36" spans="1:19" s="19" customFormat="1" ht="12.75" x14ac:dyDescent="0.2">
      <c r="A36" s="84">
        <f t="shared" si="6"/>
        <v>2019</v>
      </c>
      <c r="B36" s="85">
        <v>43497</v>
      </c>
      <c r="C36" s="86">
        <f>VLOOKUP($B36,dados!$D$4:$U$272,2,FALSE)</f>
        <v>87.486469999999997</v>
      </c>
      <c r="D36" s="86">
        <f>VLOOKUP($B36,dados!$D$4:$U$272,3,FALSE)</f>
        <v>82.334029999999998</v>
      </c>
      <c r="E36" s="86">
        <f>VLOOKUP($B36,dados!$D$4:$U$272,4,FALSE)</f>
        <v>70.124020000000002</v>
      </c>
      <c r="F36" s="86">
        <f>VLOOKUP($B36,dados!$D$4:$U$272,5,FALSE)</f>
        <v>89.725890000000007</v>
      </c>
      <c r="G36" s="86">
        <f>VLOOKUP($B36,dados!$D$4:$U$272,6,FALSE)</f>
        <v>133.94539</v>
      </c>
      <c r="H36" s="86">
        <f>VLOOKUP($B36,dados!$D$4:$U$272,7,FALSE)</f>
        <v>115.46901</v>
      </c>
      <c r="I36" s="86" t="str">
        <f>VLOOKUP($B36,dados!$D$4:$U$272,8,FALSE)</f>
        <v>-</v>
      </c>
      <c r="J36" s="86">
        <f>VLOOKUP($B36,dados!$D$4:$U$272,9,FALSE)</f>
        <v>84.54665</v>
      </c>
      <c r="K36" s="86">
        <f>VLOOKUP($B36,dados!$D$4:$U$272,10,FALSE)</f>
        <v>76.515609999999995</v>
      </c>
      <c r="L36" s="86">
        <f>VLOOKUP($B36,dados!$D$4:$U$272,11,FALSE)</f>
        <v>68.749129999999994</v>
      </c>
      <c r="M36" s="86">
        <f>VLOOKUP($B36,dados!$D$4:$U$272,12,FALSE)</f>
        <v>101.68581</v>
      </c>
      <c r="N36" s="86">
        <f>VLOOKUP($B36,dados!$D$4:$U$272,13,FALSE)</f>
        <v>63.241909999999997</v>
      </c>
      <c r="O36" s="86">
        <f>VLOOKUP($B36,dados!$D$4:$U$272,14,FALSE)</f>
        <v>96.760210000000001</v>
      </c>
      <c r="P36" s="86">
        <f>VLOOKUP($B36,dados!$D$4:$U$272,15,FALSE)</f>
        <v>61.670920000000002</v>
      </c>
      <c r="Q36" s="86">
        <f>VLOOKUP($B36,dados!$D$4:$U$272,16,FALSE)</f>
        <v>100.72498</v>
      </c>
      <c r="R36" s="86">
        <f>VLOOKUP($B36,dados!$D$4:$U$272,17,FALSE)</f>
        <v>19.98676</v>
      </c>
      <c r="S36" s="87">
        <f>VLOOKUP($B36,dados!$D$4:$U$272,18,FALSE)</f>
        <v>115.51355</v>
      </c>
    </row>
    <row r="37" spans="1:19" s="19" customFormat="1" ht="12.75" x14ac:dyDescent="0.2">
      <c r="A37" s="84">
        <f t="shared" si="6"/>
        <v>2019</v>
      </c>
      <c r="B37" s="85">
        <v>43525</v>
      </c>
      <c r="C37" s="86">
        <f>VLOOKUP($B37,dados!$D$4:$U$272,2,FALSE)</f>
        <v>89.913659999999993</v>
      </c>
      <c r="D37" s="86">
        <f>VLOOKUP($B37,dados!$D$4:$U$272,3,FALSE)</f>
        <v>86.023809999999997</v>
      </c>
      <c r="E37" s="86">
        <f>VLOOKUP($B37,dados!$D$4:$U$272,4,FALSE)</f>
        <v>79.334069999999997</v>
      </c>
      <c r="F37" s="86">
        <f>VLOOKUP($B37,dados!$D$4:$U$272,5,FALSE)</f>
        <v>90.073740000000001</v>
      </c>
      <c r="G37" s="86">
        <f>VLOOKUP($B37,dados!$D$4:$U$272,6,FALSE)</f>
        <v>95.052899999999994</v>
      </c>
      <c r="H37" s="86">
        <f>VLOOKUP($B37,dados!$D$4:$U$272,7,FALSE)</f>
        <v>119.33486000000001</v>
      </c>
      <c r="I37" s="86" t="str">
        <f>VLOOKUP($B37,dados!$D$4:$U$272,8,FALSE)</f>
        <v>-</v>
      </c>
      <c r="J37" s="86">
        <f>VLOOKUP($B37,dados!$D$4:$U$272,9,FALSE)</f>
        <v>92.961129999999997</v>
      </c>
      <c r="K37" s="86">
        <f>VLOOKUP($B37,dados!$D$4:$U$272,10,FALSE)</f>
        <v>77.489500000000007</v>
      </c>
      <c r="L37" s="86">
        <f>VLOOKUP($B37,dados!$D$4:$U$272,11,FALSE)</f>
        <v>52.472700000000003</v>
      </c>
      <c r="M37" s="86">
        <f>VLOOKUP($B37,dados!$D$4:$U$272,12,FALSE)</f>
        <v>93.892179999999996</v>
      </c>
      <c r="N37" s="86">
        <f>VLOOKUP($B37,dados!$D$4:$U$272,13,FALSE)</f>
        <v>67.514989999999997</v>
      </c>
      <c r="O37" s="86">
        <f>VLOOKUP($B37,dados!$D$4:$U$272,14,FALSE)</f>
        <v>108.99724999999999</v>
      </c>
      <c r="P37" s="86">
        <f>VLOOKUP($B37,dados!$D$4:$U$272,15,FALSE)</f>
        <v>65.307180000000002</v>
      </c>
      <c r="Q37" s="86">
        <f>VLOOKUP($B37,dados!$D$4:$U$272,16,FALSE)</f>
        <v>83.777860000000004</v>
      </c>
      <c r="R37" s="86">
        <f>VLOOKUP($B37,dados!$D$4:$U$272,17,FALSE)</f>
        <v>17.04233</v>
      </c>
      <c r="S37" s="87">
        <f>VLOOKUP($B37,dados!$D$4:$U$272,18,FALSE)</f>
        <v>113.6983</v>
      </c>
    </row>
    <row r="38" spans="1:19" s="19" customFormat="1" ht="12.75" x14ac:dyDescent="0.2">
      <c r="A38" s="84">
        <f t="shared" si="6"/>
        <v>2019</v>
      </c>
      <c r="B38" s="85">
        <v>43556</v>
      </c>
      <c r="C38" s="86">
        <f>VLOOKUP($B38,dados!$D$4:$U$272,2,FALSE)</f>
        <v>88.512559999999993</v>
      </c>
      <c r="D38" s="86">
        <f>VLOOKUP($B38,dados!$D$4:$U$272,3,FALSE)</f>
        <v>83.743899999999996</v>
      </c>
      <c r="E38" s="86">
        <f>VLOOKUP($B38,dados!$D$4:$U$272,4,FALSE)</f>
        <v>79.861350000000002</v>
      </c>
      <c r="F38" s="86">
        <f>VLOOKUP($B38,dados!$D$4:$U$272,5,FALSE)</f>
        <v>86.094380000000001</v>
      </c>
      <c r="G38" s="86">
        <f>VLOOKUP($B38,dados!$D$4:$U$272,6,FALSE)</f>
        <v>110.08201</v>
      </c>
      <c r="H38" s="86">
        <f>VLOOKUP($B38,dados!$D$4:$U$272,7,FALSE)</f>
        <v>111.76228</v>
      </c>
      <c r="I38" s="86" t="str">
        <f>VLOOKUP($B38,dados!$D$4:$U$272,8,FALSE)</f>
        <v>-</v>
      </c>
      <c r="J38" s="86">
        <f>VLOOKUP($B38,dados!$D$4:$U$272,9,FALSE)</f>
        <v>76.242009999999993</v>
      </c>
      <c r="K38" s="86">
        <f>VLOOKUP($B38,dados!$D$4:$U$272,10,FALSE)</f>
        <v>81.083129999999997</v>
      </c>
      <c r="L38" s="86">
        <f>VLOOKUP($B38,dados!$D$4:$U$272,11,FALSE)</f>
        <v>47.007539999999999</v>
      </c>
      <c r="M38" s="86">
        <f>VLOOKUP($B38,dados!$D$4:$U$272,12,FALSE)</f>
        <v>105.14394</v>
      </c>
      <c r="N38" s="86">
        <f>VLOOKUP($B38,dados!$D$4:$U$272,13,FALSE)</f>
        <v>74.074830000000006</v>
      </c>
      <c r="O38" s="86">
        <f>VLOOKUP($B38,dados!$D$4:$U$272,14,FALSE)</f>
        <v>100.1134</v>
      </c>
      <c r="P38" s="86">
        <f>VLOOKUP($B38,dados!$D$4:$U$272,15,FALSE)</f>
        <v>67.512529999999998</v>
      </c>
      <c r="Q38" s="86">
        <f>VLOOKUP($B38,dados!$D$4:$U$272,16,FALSE)</f>
        <v>105.4118</v>
      </c>
      <c r="R38" s="86">
        <f>VLOOKUP($B38,dados!$D$4:$U$272,17,FALSE)</f>
        <v>22.222639999999998</v>
      </c>
      <c r="S38" s="87">
        <f>VLOOKUP($B38,dados!$D$4:$U$272,18,FALSE)</f>
        <v>115.69333</v>
      </c>
    </row>
    <row r="39" spans="1:19" s="19" customFormat="1" ht="12.75" x14ac:dyDescent="0.2">
      <c r="A39" s="84">
        <f t="shared" si="6"/>
        <v>2019</v>
      </c>
      <c r="B39" s="85">
        <v>43586</v>
      </c>
      <c r="C39" s="86">
        <f>VLOOKUP($B39,dados!$D$4:$U$272,2,FALSE)</f>
        <v>93.448329999999999</v>
      </c>
      <c r="D39" s="86">
        <f>VLOOKUP($B39,dados!$D$4:$U$272,3,FALSE)</f>
        <v>92.855689999999996</v>
      </c>
      <c r="E39" s="86">
        <f>VLOOKUP($B39,dados!$D$4:$U$272,4,FALSE)</f>
        <v>87.857420000000005</v>
      </c>
      <c r="F39" s="86">
        <f>VLOOKUP($B39,dados!$D$4:$U$272,5,FALSE)</f>
        <v>95.881619999999998</v>
      </c>
      <c r="G39" s="86">
        <f>VLOOKUP($B39,dados!$D$4:$U$272,6,FALSE)</f>
        <v>92.248559999999998</v>
      </c>
      <c r="H39" s="86">
        <f>VLOOKUP($B39,dados!$D$4:$U$272,7,FALSE)</f>
        <v>114.56595</v>
      </c>
      <c r="I39" s="86" t="str">
        <f>VLOOKUP($B39,dados!$D$4:$U$272,8,FALSE)</f>
        <v>-</v>
      </c>
      <c r="J39" s="86">
        <f>VLOOKUP($B39,dados!$D$4:$U$272,9,FALSE)</f>
        <v>99.379339999999999</v>
      </c>
      <c r="K39" s="86">
        <f>VLOOKUP($B39,dados!$D$4:$U$272,10,FALSE)</f>
        <v>85.497619999999998</v>
      </c>
      <c r="L39" s="86">
        <f>VLOOKUP($B39,dados!$D$4:$U$272,11,FALSE)</f>
        <v>58.580390000000001</v>
      </c>
      <c r="M39" s="86">
        <f>VLOOKUP($B39,dados!$D$4:$U$272,12,FALSE)</f>
        <v>108.65398</v>
      </c>
      <c r="N39" s="86">
        <f>VLOOKUP($B39,dados!$D$4:$U$272,13,FALSE)</f>
        <v>77.439869999999999</v>
      </c>
      <c r="O39" s="86">
        <f>VLOOKUP($B39,dados!$D$4:$U$272,14,FALSE)</f>
        <v>96.768960000000007</v>
      </c>
      <c r="P39" s="86">
        <f>VLOOKUP($B39,dados!$D$4:$U$272,15,FALSE)</f>
        <v>71.861770000000007</v>
      </c>
      <c r="Q39" s="86">
        <f>VLOOKUP($B39,dados!$D$4:$U$272,16,FALSE)</f>
        <v>105.17538</v>
      </c>
      <c r="R39" s="86">
        <f>VLOOKUP($B39,dados!$D$4:$U$272,17,FALSE)</f>
        <v>22.23686</v>
      </c>
      <c r="S39" s="87">
        <f>VLOOKUP($B39,dados!$D$4:$U$272,18,FALSE)</f>
        <v>122.86596</v>
      </c>
    </row>
    <row r="40" spans="1:19" s="19" customFormat="1" ht="12.75" x14ac:dyDescent="0.2">
      <c r="A40" s="84">
        <f t="shared" ref="A40:A42" si="14">YEAR(B40)</f>
        <v>2019</v>
      </c>
      <c r="B40" s="85">
        <v>43617</v>
      </c>
      <c r="C40" s="86">
        <f>VLOOKUP($B40,dados!$D$4:$U$272,2,FALSE)</f>
        <v>85.594099999999997</v>
      </c>
      <c r="D40" s="86">
        <f>VLOOKUP($B40,dados!$D$4:$U$272,3,FALSE)</f>
        <v>83.733729999999994</v>
      </c>
      <c r="E40" s="86">
        <f>VLOOKUP($B40,dados!$D$4:$U$272,4,FALSE)</f>
        <v>76.787040000000005</v>
      </c>
      <c r="F40" s="86">
        <f>VLOOKUP($B40,dados!$D$4:$U$272,5,FALSE)</f>
        <v>87.939220000000006</v>
      </c>
      <c r="G40" s="86">
        <f>VLOOKUP($B40,dados!$D$4:$U$272,6,FALSE)</f>
        <v>90.249750000000006</v>
      </c>
      <c r="H40" s="86">
        <f>VLOOKUP($B40,dados!$D$4:$U$272,7,FALSE)</f>
        <v>102.84231</v>
      </c>
      <c r="I40" s="86" t="str">
        <f>VLOOKUP($B40,dados!$D$4:$U$272,8,FALSE)</f>
        <v>-</v>
      </c>
      <c r="J40" s="86">
        <f>VLOOKUP($B40,dados!$D$4:$U$272,9,FALSE)</f>
        <v>90.494969999999995</v>
      </c>
      <c r="K40" s="86">
        <f>VLOOKUP($B40,dados!$D$4:$U$272,10,FALSE)</f>
        <v>76.202119999999994</v>
      </c>
      <c r="L40" s="86">
        <f>VLOOKUP($B40,dados!$D$4:$U$272,11,FALSE)</f>
        <v>53.410670000000003</v>
      </c>
      <c r="M40" s="86">
        <f>VLOOKUP($B40,dados!$D$4:$U$272,12,FALSE)</f>
        <v>99.825649999999996</v>
      </c>
      <c r="N40" s="86">
        <f>VLOOKUP($B40,dados!$D$4:$U$272,13,FALSE)</f>
        <v>73.811199999999999</v>
      </c>
      <c r="O40" s="86">
        <f>VLOOKUP($B40,dados!$D$4:$U$272,14,FALSE)</f>
        <v>92.799610000000001</v>
      </c>
      <c r="P40" s="86">
        <f>VLOOKUP($B40,dados!$D$4:$U$272,15,FALSE)</f>
        <v>65.88946</v>
      </c>
      <c r="Q40" s="86">
        <f>VLOOKUP($B40,dados!$D$4:$U$272,16,FALSE)</f>
        <v>92.42577</v>
      </c>
      <c r="R40" s="86">
        <f>VLOOKUP($B40,dados!$D$4:$U$272,17,FALSE)</f>
        <v>26.002359999999999</v>
      </c>
      <c r="S40" s="87">
        <f>VLOOKUP($B40,dados!$D$4:$U$272,18,FALSE)</f>
        <v>113.00008</v>
      </c>
    </row>
    <row r="41" spans="1:19" s="19" customFormat="1" ht="12.75" x14ac:dyDescent="0.2">
      <c r="A41" s="84">
        <f t="shared" si="14"/>
        <v>2019</v>
      </c>
      <c r="B41" s="85">
        <v>43647</v>
      </c>
      <c r="C41" s="86">
        <f>VLOOKUP($B41,dados!$D$4:$U$272,2,FALSE)</f>
        <v>92.059610000000006</v>
      </c>
      <c r="D41" s="86">
        <f>VLOOKUP($B41,dados!$D$4:$U$272,3,FALSE)</f>
        <v>95.972849999999994</v>
      </c>
      <c r="E41" s="86">
        <f>VLOOKUP($B41,dados!$D$4:$U$272,4,FALSE)</f>
        <v>90.865939999999995</v>
      </c>
      <c r="F41" s="86">
        <f>VLOOKUP($B41,dados!$D$4:$U$272,5,FALSE)</f>
        <v>99.064549999999997</v>
      </c>
      <c r="G41" s="86">
        <f>VLOOKUP($B41,dados!$D$4:$U$272,6,FALSE)</f>
        <v>119.24406</v>
      </c>
      <c r="H41" s="86">
        <f>VLOOKUP($B41,dados!$D$4:$U$272,7,FALSE)</f>
        <v>103.33659</v>
      </c>
      <c r="I41" s="86" t="str">
        <f>VLOOKUP($B41,dados!$D$4:$U$272,8,FALSE)</f>
        <v>-</v>
      </c>
      <c r="J41" s="86">
        <f>VLOOKUP($B41,dados!$D$4:$U$272,9,FALSE)</f>
        <v>102.40694999999999</v>
      </c>
      <c r="K41" s="86">
        <f>VLOOKUP($B41,dados!$D$4:$U$272,10,FALSE)</f>
        <v>99.295069999999996</v>
      </c>
      <c r="L41" s="86">
        <f>VLOOKUP($B41,dados!$D$4:$U$272,11,FALSE)</f>
        <v>56.192819999999998</v>
      </c>
      <c r="M41" s="86">
        <f>VLOOKUP($B41,dados!$D$4:$U$272,12,FALSE)</f>
        <v>107.29224000000001</v>
      </c>
      <c r="N41" s="86">
        <f>VLOOKUP($B41,dados!$D$4:$U$272,13,FALSE)</f>
        <v>80.025049999999993</v>
      </c>
      <c r="O41" s="86">
        <f>VLOOKUP($B41,dados!$D$4:$U$272,14,FALSE)</f>
        <v>92.895139999999998</v>
      </c>
      <c r="P41" s="86">
        <f>VLOOKUP($B41,dados!$D$4:$U$272,15,FALSE)</f>
        <v>73.002759999999995</v>
      </c>
      <c r="Q41" s="86">
        <f>VLOOKUP($B41,dados!$D$4:$U$272,16,FALSE)</f>
        <v>117.34596000000001</v>
      </c>
      <c r="R41" s="86">
        <f>VLOOKUP($B41,dados!$D$4:$U$272,17,FALSE)</f>
        <v>39.157260000000001</v>
      </c>
      <c r="S41" s="87">
        <f>VLOOKUP($B41,dados!$D$4:$U$272,18,FALSE)</f>
        <v>120.32599999999999</v>
      </c>
    </row>
    <row r="42" spans="1:19" s="19" customFormat="1" ht="12.75" x14ac:dyDescent="0.2">
      <c r="A42" s="84">
        <f t="shared" si="14"/>
        <v>2019</v>
      </c>
      <c r="B42" s="85">
        <v>43678</v>
      </c>
      <c r="C42" s="86">
        <f>VLOOKUP($B42,dados!$D$4:$U$272,2,FALSE)</f>
        <v>92.793400000000005</v>
      </c>
      <c r="D42" s="86">
        <f>VLOOKUP($B42,dados!$D$4:$U$272,3,FALSE)</f>
        <v>95.893140000000002</v>
      </c>
      <c r="E42" s="86">
        <f>VLOOKUP($B42,dados!$D$4:$U$272,4,FALSE)</f>
        <v>98.248769999999993</v>
      </c>
      <c r="F42" s="86">
        <f>VLOOKUP($B42,dados!$D$4:$U$272,5,FALSE)</f>
        <v>94.46705</v>
      </c>
      <c r="G42" s="86">
        <f>VLOOKUP($B42,dados!$D$4:$U$272,6,FALSE)</f>
        <v>116.93844</v>
      </c>
      <c r="H42" s="86">
        <f>VLOOKUP($B42,dados!$D$4:$U$272,7,FALSE)</f>
        <v>101.04523</v>
      </c>
      <c r="I42" s="86" t="str">
        <f>VLOOKUP($B42,dados!$D$4:$U$272,8,FALSE)</f>
        <v>-</v>
      </c>
      <c r="J42" s="86">
        <f>VLOOKUP($B42,dados!$D$4:$U$272,9,FALSE)</f>
        <v>94.853679999999997</v>
      </c>
      <c r="K42" s="86">
        <f>VLOOKUP($B42,dados!$D$4:$U$272,10,FALSE)</f>
        <v>114.38311</v>
      </c>
      <c r="L42" s="86">
        <f>VLOOKUP($B42,dados!$D$4:$U$272,11,FALSE)</f>
        <v>55.259650000000001</v>
      </c>
      <c r="M42" s="86">
        <f>VLOOKUP($B42,dados!$D$4:$U$272,12,FALSE)</f>
        <v>108.81045</v>
      </c>
      <c r="N42" s="86">
        <f>VLOOKUP($B42,dados!$D$4:$U$272,13,FALSE)</f>
        <v>83.654340000000005</v>
      </c>
      <c r="O42" s="86">
        <f>VLOOKUP($B42,dados!$D$4:$U$272,14,FALSE)</f>
        <v>82.564359999999994</v>
      </c>
      <c r="P42" s="86">
        <f>VLOOKUP($B42,dados!$D$4:$U$272,15,FALSE)</f>
        <v>73.058880000000002</v>
      </c>
      <c r="Q42" s="86">
        <f>VLOOKUP($B42,dados!$D$4:$U$272,16,FALSE)</f>
        <v>108.51183</v>
      </c>
      <c r="R42" s="86">
        <f>VLOOKUP($B42,dados!$D$4:$U$272,17,FALSE)</f>
        <v>43.475299999999997</v>
      </c>
      <c r="S42" s="87">
        <f>VLOOKUP($B42,dados!$D$4:$U$272,18,FALSE)</f>
        <v>112.94869</v>
      </c>
    </row>
    <row r="43" spans="1:19" s="19" customFormat="1" ht="12.75" x14ac:dyDescent="0.2">
      <c r="A43" s="84">
        <f t="shared" ref="A43:A44" si="15">YEAR(B43)</f>
        <v>2019</v>
      </c>
      <c r="B43" s="85">
        <v>43709</v>
      </c>
      <c r="C43" s="86">
        <f>VLOOKUP($B43,dados!$D$4:$U$272,2,FALSE)</f>
        <v>93.197929999999999</v>
      </c>
      <c r="D43" s="86">
        <f>VLOOKUP($B43,dados!$D$4:$U$272,3,FALSE)</f>
        <v>94.208579999999998</v>
      </c>
      <c r="E43" s="86">
        <f>VLOOKUP($B43,dados!$D$4:$U$272,4,FALSE)</f>
        <v>92.395200000000003</v>
      </c>
      <c r="F43" s="86">
        <f>VLOOKUP($B43,dados!$D$4:$U$272,5,FALSE)</f>
        <v>95.306389999999993</v>
      </c>
      <c r="G43" s="86">
        <f>VLOOKUP($B43,dados!$D$4:$U$272,6,FALSE)</f>
        <v>132.08047999999999</v>
      </c>
      <c r="H43" s="86">
        <f>VLOOKUP($B43,dados!$D$4:$U$272,7,FALSE)</f>
        <v>106.06802999999999</v>
      </c>
      <c r="I43" s="86" t="str">
        <f>VLOOKUP($B43,dados!$D$4:$U$272,8,FALSE)</f>
        <v>-</v>
      </c>
      <c r="J43" s="86">
        <f>VLOOKUP($B43,dados!$D$4:$U$272,9,FALSE)</f>
        <v>94.321389999999994</v>
      </c>
      <c r="K43" s="86">
        <f>VLOOKUP($B43,dados!$D$4:$U$272,10,FALSE)</f>
        <v>125.47497</v>
      </c>
      <c r="L43" s="86">
        <f>VLOOKUP($B43,dados!$D$4:$U$272,11,FALSE)</f>
        <v>54.103009999999998</v>
      </c>
      <c r="M43" s="86">
        <f>VLOOKUP($B43,dados!$D$4:$U$272,12,FALSE)</f>
        <v>104.42903</v>
      </c>
      <c r="N43" s="86">
        <f>VLOOKUP($B43,dados!$D$4:$U$272,13,FALSE)</f>
        <v>76.485200000000006</v>
      </c>
      <c r="O43" s="86">
        <f>VLOOKUP($B43,dados!$D$4:$U$272,14,FALSE)</f>
        <v>90.017290000000003</v>
      </c>
      <c r="P43" s="86">
        <f>VLOOKUP($B43,dados!$D$4:$U$272,15,FALSE)</f>
        <v>69.812299999999993</v>
      </c>
      <c r="Q43" s="86">
        <f>VLOOKUP($B43,dados!$D$4:$U$272,16,FALSE)</f>
        <v>104.10234</v>
      </c>
      <c r="R43" s="86">
        <f>VLOOKUP($B43,dados!$D$4:$U$272,17,FALSE)</f>
        <v>41.3992</v>
      </c>
      <c r="S43" s="87">
        <f>VLOOKUP($B43,dados!$D$4:$U$272,18,FALSE)</f>
        <v>109.36259</v>
      </c>
    </row>
    <row r="44" spans="1:19" s="19" customFormat="1" ht="12.75" x14ac:dyDescent="0.2">
      <c r="A44" s="84">
        <f t="shared" si="15"/>
        <v>2019</v>
      </c>
      <c r="B44" s="85">
        <v>43739</v>
      </c>
      <c r="C44" s="86">
        <f>VLOOKUP($B44,dados!$D$4:$U$272,2,FALSE)</f>
        <v>95.217479999999995</v>
      </c>
      <c r="D44" s="86">
        <f>VLOOKUP($B44,dados!$D$4:$U$272,3,FALSE)</f>
        <v>100.82134000000001</v>
      </c>
      <c r="E44" s="86">
        <f>VLOOKUP($B44,dados!$D$4:$U$272,4,FALSE)</f>
        <v>96.193039999999996</v>
      </c>
      <c r="F44" s="86">
        <f>VLOOKUP($B44,dados!$D$4:$U$272,5,FALSE)</f>
        <v>103.62327999999999</v>
      </c>
      <c r="G44" s="86">
        <f>VLOOKUP($B44,dados!$D$4:$U$272,6,FALSE)</f>
        <v>154.12215</v>
      </c>
      <c r="H44" s="86">
        <f>VLOOKUP($B44,dados!$D$4:$U$272,7,FALSE)</f>
        <v>123.40600000000001</v>
      </c>
      <c r="I44" s="86" t="str">
        <f>VLOOKUP($B44,dados!$D$4:$U$272,8,FALSE)</f>
        <v>-</v>
      </c>
      <c r="J44" s="86">
        <f>VLOOKUP($B44,dados!$D$4:$U$272,9,FALSE)</f>
        <v>106.62730000000001</v>
      </c>
      <c r="K44" s="86">
        <f>VLOOKUP($B44,dados!$D$4:$U$272,10,FALSE)</f>
        <v>107.24863000000001</v>
      </c>
      <c r="L44" s="86">
        <f>VLOOKUP($B44,dados!$D$4:$U$272,11,FALSE)</f>
        <v>54.661850000000001</v>
      </c>
      <c r="M44" s="86">
        <f>VLOOKUP($B44,dados!$D$4:$U$272,12,FALSE)</f>
        <v>105.97745</v>
      </c>
      <c r="N44" s="86">
        <f>VLOOKUP($B44,dados!$D$4:$U$272,13,FALSE)</f>
        <v>84.374120000000005</v>
      </c>
      <c r="O44" s="86">
        <f>VLOOKUP($B44,dados!$D$4:$U$272,14,FALSE)</f>
        <v>90.68526</v>
      </c>
      <c r="P44" s="86">
        <f>VLOOKUP($B44,dados!$D$4:$U$272,15,FALSE)</f>
        <v>73.994420000000005</v>
      </c>
      <c r="Q44" s="86">
        <f>VLOOKUP($B44,dados!$D$4:$U$272,16,FALSE)</f>
        <v>120.09043</v>
      </c>
      <c r="R44" s="86">
        <f>VLOOKUP($B44,dados!$D$4:$U$272,17,FALSE)</f>
        <v>45.795670000000001</v>
      </c>
      <c r="S44" s="87">
        <f>VLOOKUP($B44,dados!$D$4:$U$272,18,FALSE)</f>
        <v>120.17358</v>
      </c>
    </row>
    <row r="45" spans="1:19" s="19" customFormat="1" ht="12.75" x14ac:dyDescent="0.2">
      <c r="A45" s="84">
        <f t="shared" ref="A45" si="16">YEAR(B45)</f>
        <v>2019</v>
      </c>
      <c r="B45" s="85">
        <v>43770</v>
      </c>
      <c r="C45" s="86">
        <f>VLOOKUP($B45,dados!$D$4:$U$272,2,FALSE)</f>
        <v>98.97963</v>
      </c>
      <c r="D45" s="86">
        <f>VLOOKUP($B45,dados!$D$4:$U$272,3,FALSE)</f>
        <v>100.32368</v>
      </c>
      <c r="E45" s="86">
        <f>VLOOKUP($B45,dados!$D$4:$U$272,4,FALSE)</f>
        <v>100.17615000000001</v>
      </c>
      <c r="F45" s="86">
        <f>VLOOKUP($B45,dados!$D$4:$U$272,5,FALSE)</f>
        <v>100.41298999999999</v>
      </c>
      <c r="G45" s="86">
        <f>VLOOKUP($B45,dados!$D$4:$U$272,6,FALSE)</f>
        <v>130.10731999999999</v>
      </c>
      <c r="H45" s="86">
        <f>VLOOKUP($B45,dados!$D$4:$U$272,7,FALSE)</f>
        <v>126.47387000000001</v>
      </c>
      <c r="I45" s="86" t="str">
        <f>VLOOKUP($B45,dados!$D$4:$U$272,8,FALSE)</f>
        <v>-</v>
      </c>
      <c r="J45" s="86">
        <f>VLOOKUP($B45,dados!$D$4:$U$272,9,FALSE)</f>
        <v>110.38178000000001</v>
      </c>
      <c r="K45" s="86">
        <f>VLOOKUP($B45,dados!$D$4:$U$272,10,FALSE)</f>
        <v>95.625230000000002</v>
      </c>
      <c r="L45" s="86">
        <f>VLOOKUP($B45,dados!$D$4:$U$272,11,FALSE)</f>
        <v>55.74879</v>
      </c>
      <c r="M45" s="86">
        <f>VLOOKUP($B45,dados!$D$4:$U$272,12,FALSE)</f>
        <v>101.2016</v>
      </c>
      <c r="N45" s="86">
        <f>VLOOKUP($B45,dados!$D$4:$U$272,13,FALSE)</f>
        <v>81.721670000000003</v>
      </c>
      <c r="O45" s="86">
        <f>VLOOKUP($B45,dados!$D$4:$U$272,14,FALSE)</f>
        <v>100.91152</v>
      </c>
      <c r="P45" s="86">
        <f>VLOOKUP($B45,dados!$D$4:$U$272,15,FALSE)</f>
        <v>70.127840000000006</v>
      </c>
      <c r="Q45" s="86">
        <f>VLOOKUP($B45,dados!$D$4:$U$272,16,FALSE)</f>
        <v>86.366780000000006</v>
      </c>
      <c r="R45" s="86">
        <f>VLOOKUP($B45,dados!$D$4:$U$272,17,FALSE)</f>
        <v>41.10745</v>
      </c>
      <c r="S45" s="87">
        <f>VLOOKUP($B45,dados!$D$4:$U$272,18,FALSE)</f>
        <v>110.55489</v>
      </c>
    </row>
    <row r="46" spans="1:19" s="19" customFormat="1" ht="12.75" x14ac:dyDescent="0.2">
      <c r="A46" s="84">
        <f t="shared" ref="A46" si="17">YEAR(B46)</f>
        <v>2019</v>
      </c>
      <c r="B46" s="85">
        <v>43800</v>
      </c>
      <c r="C46" s="86">
        <f>VLOOKUP($B46,dados!$D$4:$U$272,2,FALSE)</f>
        <v>94.763660000000002</v>
      </c>
      <c r="D46" s="86">
        <f>VLOOKUP($B46,dados!$D$4:$U$272,3,FALSE)</f>
        <v>94.975970000000004</v>
      </c>
      <c r="E46" s="86">
        <f>VLOOKUP($B46,dados!$D$4:$U$272,4,FALSE)</f>
        <v>104.93067000000001</v>
      </c>
      <c r="F46" s="86">
        <f>VLOOKUP($B46,dados!$D$4:$U$272,5,FALSE)</f>
        <v>88.949449999999999</v>
      </c>
      <c r="G46" s="86">
        <f>VLOOKUP($B46,dados!$D$4:$U$272,6,FALSE)</f>
        <v>99.189480000000003</v>
      </c>
      <c r="H46" s="86">
        <f>VLOOKUP($B46,dados!$D$4:$U$272,7,FALSE)</f>
        <v>144.77961999999999</v>
      </c>
      <c r="I46" s="86" t="str">
        <f>VLOOKUP($B46,dados!$D$4:$U$272,8,FALSE)</f>
        <v>-</v>
      </c>
      <c r="J46" s="86">
        <f>VLOOKUP($B46,dados!$D$4:$U$272,9,FALSE)</f>
        <v>98.552070000000001</v>
      </c>
      <c r="K46" s="86">
        <f>VLOOKUP($B46,dados!$D$4:$U$272,10,FALSE)</f>
        <v>68.250299999999996</v>
      </c>
      <c r="L46" s="86">
        <f>VLOOKUP($B46,dados!$D$4:$U$272,11,FALSE)</f>
        <v>53.302300000000002</v>
      </c>
      <c r="M46" s="86">
        <f>VLOOKUP($B46,dados!$D$4:$U$272,12,FALSE)</f>
        <v>74.666300000000007</v>
      </c>
      <c r="N46" s="86">
        <f>VLOOKUP($B46,dados!$D$4:$U$272,13,FALSE)</f>
        <v>78.545529999999999</v>
      </c>
      <c r="O46" s="86">
        <f>VLOOKUP($B46,dados!$D$4:$U$272,14,FALSE)</f>
        <v>103.12864</v>
      </c>
      <c r="P46" s="86">
        <f>VLOOKUP($B46,dados!$D$4:$U$272,15,FALSE)</f>
        <v>63.210459999999998</v>
      </c>
      <c r="Q46" s="86">
        <f>VLOOKUP($B46,dados!$D$4:$U$272,16,FALSE)</f>
        <v>55.877699999999997</v>
      </c>
      <c r="R46" s="86">
        <f>VLOOKUP($B46,dados!$D$4:$U$272,17,FALSE)</f>
        <v>30.75311</v>
      </c>
      <c r="S46" s="87">
        <f>VLOOKUP($B46,dados!$D$4:$U$272,18,FALSE)</f>
        <v>101.36096000000001</v>
      </c>
    </row>
    <row r="47" spans="1:19" s="19" customFormat="1" ht="12.75" x14ac:dyDescent="0.2">
      <c r="A47" s="84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7"/>
    </row>
    <row r="48" spans="1:19" s="19" customFormat="1" ht="12.75" x14ac:dyDescent="0.2">
      <c r="A48" s="92">
        <f>A49</f>
        <v>2020</v>
      </c>
      <c r="B48" s="89" t="s">
        <v>6</v>
      </c>
      <c r="C48" s="90">
        <f>SUM(C49:C60)</f>
        <v>1102.6912599999998</v>
      </c>
      <c r="D48" s="90">
        <f>SUM(D49:D60)</f>
        <v>1102.91173</v>
      </c>
      <c r="E48" s="90">
        <f>SUM(E49:E60)</f>
        <v>1175.4695099999999</v>
      </c>
      <c r="F48" s="90">
        <f t="shared" ref="F48:S48" si="18">SUM(F49:F60)</f>
        <v>1058.9857</v>
      </c>
      <c r="G48" s="90">
        <f t="shared" si="18"/>
        <v>1174.6965499999999</v>
      </c>
      <c r="H48" s="90">
        <f t="shared" si="18"/>
        <v>1325.3659600000001</v>
      </c>
      <c r="I48" s="90">
        <f t="shared" si="18"/>
        <v>0</v>
      </c>
      <c r="J48" s="90">
        <f t="shared" si="18"/>
        <v>1090.0898099999999</v>
      </c>
      <c r="K48" s="90">
        <f t="shared" si="18"/>
        <v>1086.1883799999998</v>
      </c>
      <c r="L48" s="90">
        <f t="shared" si="18"/>
        <v>810.59256000000005</v>
      </c>
      <c r="M48" s="90">
        <f t="shared" si="18"/>
        <v>1117.8981999999999</v>
      </c>
      <c r="N48" s="90">
        <f t="shared" si="18"/>
        <v>927.14418000000001</v>
      </c>
      <c r="O48" s="90">
        <f t="shared" si="18"/>
        <v>1184.08745</v>
      </c>
      <c r="P48" s="90">
        <f t="shared" si="18"/>
        <v>876.81888000000004</v>
      </c>
      <c r="Q48" s="90">
        <f t="shared" si="18"/>
        <v>845.65319</v>
      </c>
      <c r="R48" s="90">
        <f t="shared" si="18"/>
        <v>404.26379999999989</v>
      </c>
      <c r="S48" s="91">
        <f t="shared" si="18"/>
        <v>1181.4217899999999</v>
      </c>
    </row>
    <row r="49" spans="1:19" s="19" customFormat="1" ht="12.75" x14ac:dyDescent="0.2">
      <c r="A49" s="84">
        <f>YEAR(B49)</f>
        <v>2020</v>
      </c>
      <c r="B49" s="93">
        <v>43831</v>
      </c>
      <c r="C49" s="86">
        <f>VLOOKUP($B49,dados!$D$4:$U$272,2,FALSE)</f>
        <v>97.704549999999998</v>
      </c>
      <c r="D49" s="86">
        <f>VLOOKUP($B49,dados!$D$4:$U$272,3,FALSE)</f>
        <v>98.953530000000001</v>
      </c>
      <c r="E49" s="86">
        <f>VLOOKUP($B49,dados!$D$4:$U$272,4,FALSE)</f>
        <v>103.89245</v>
      </c>
      <c r="F49" s="86">
        <f>VLOOKUP($B49,dados!$D$4:$U$272,5,FALSE)</f>
        <v>95.963549999999998</v>
      </c>
      <c r="G49" s="86">
        <f>VLOOKUP($B49,dados!$D$4:$U$272,6,FALSE)</f>
        <v>95.671360000000007</v>
      </c>
      <c r="H49" s="86">
        <f>VLOOKUP($B49,dados!$D$4:$U$272,7,FALSE)</f>
        <v>130.10747000000001</v>
      </c>
      <c r="I49" s="86" t="str">
        <f>VLOOKUP($B49,dados!$D$4:$U$272,8,FALSE)</f>
        <v>-</v>
      </c>
      <c r="J49" s="86">
        <f>VLOOKUP($B49,dados!$D$4:$U$272,9,FALSE)</f>
        <v>99.489949999999993</v>
      </c>
      <c r="K49" s="86">
        <f>VLOOKUP($B49,dados!$D$4:$U$272,10,FALSE)</f>
        <v>85.051460000000006</v>
      </c>
      <c r="L49" s="86">
        <f>VLOOKUP($B49,dados!$D$4:$U$272,11,FALSE)</f>
        <v>57.20035</v>
      </c>
      <c r="M49" s="86">
        <f>VLOOKUP($B49,dados!$D$4:$U$272,12,FALSE)</f>
        <v>91.227109999999996</v>
      </c>
      <c r="N49" s="86">
        <f>VLOOKUP($B49,dados!$D$4:$U$272,13,FALSE)</f>
        <v>73.738560000000007</v>
      </c>
      <c r="O49" s="86">
        <f>VLOOKUP($B49,dados!$D$4:$U$272,14,FALSE)</f>
        <v>104.87067999999999</v>
      </c>
      <c r="P49" s="86">
        <f>VLOOKUP($B49,dados!$D$4:$U$272,15,FALSE)</f>
        <v>68.520809999999997</v>
      </c>
      <c r="Q49" s="86">
        <f>VLOOKUP($B49,dados!$D$4:$U$272,16,FALSE)</f>
        <v>106.38461</v>
      </c>
      <c r="R49" s="86">
        <f>VLOOKUP($B49,dados!$D$4:$U$272,17,FALSE)</f>
        <v>31.582750000000001</v>
      </c>
      <c r="S49" s="87">
        <f>VLOOKUP($B49,dados!$D$4:$U$272,18,FALSE)</f>
        <v>109.18693</v>
      </c>
    </row>
    <row r="50" spans="1:19" s="19" customFormat="1" ht="12.75" x14ac:dyDescent="0.2">
      <c r="A50" s="84">
        <f t="shared" ref="A50:A60" si="19">YEAR(B50)</f>
        <v>2020</v>
      </c>
      <c r="B50" s="93">
        <v>43862</v>
      </c>
      <c r="C50" s="86">
        <f>VLOOKUP($B50,dados!$D$4:$U$272,2,FALSE)</f>
        <v>98.118409999999997</v>
      </c>
      <c r="D50" s="86">
        <f>VLOOKUP($B50,dados!$D$4:$U$272,3,FALSE)</f>
        <v>90.528170000000003</v>
      </c>
      <c r="E50" s="86">
        <f>VLOOKUP($B50,dados!$D$4:$U$272,4,FALSE)</f>
        <v>89.064269999999993</v>
      </c>
      <c r="F50" s="86">
        <f>VLOOKUP($B50,dados!$D$4:$U$272,5,FALSE)</f>
        <v>91.414410000000004</v>
      </c>
      <c r="G50" s="86">
        <f>VLOOKUP($B50,dados!$D$4:$U$272,6,FALSE)</f>
        <v>86.091489999999993</v>
      </c>
      <c r="H50" s="86">
        <f>VLOOKUP($B50,dados!$D$4:$U$272,7,FALSE)</f>
        <v>113.32207</v>
      </c>
      <c r="I50" s="86" t="str">
        <f>VLOOKUP($B50,dados!$D$4:$U$272,8,FALSE)</f>
        <v>-</v>
      </c>
      <c r="J50" s="86">
        <f>VLOOKUP($B50,dados!$D$4:$U$272,9,FALSE)</f>
        <v>96.403859999999995</v>
      </c>
      <c r="K50" s="86">
        <f>VLOOKUP($B50,dados!$D$4:$U$272,10,FALSE)</f>
        <v>76.771990000000002</v>
      </c>
      <c r="L50" s="86">
        <f>VLOOKUP($B50,dados!$D$4:$U$272,11,FALSE)</f>
        <v>52.321350000000002</v>
      </c>
      <c r="M50" s="86">
        <f>VLOOKUP($B50,dados!$D$4:$U$272,12,FALSE)</f>
        <v>90.814989999999995</v>
      </c>
      <c r="N50" s="86">
        <f>VLOOKUP($B50,dados!$D$4:$U$272,13,FALSE)</f>
        <v>68.791470000000004</v>
      </c>
      <c r="O50" s="86">
        <f>VLOOKUP($B50,dados!$D$4:$U$272,14,FALSE)</f>
        <v>103.82532999999999</v>
      </c>
      <c r="P50" s="86">
        <f>VLOOKUP($B50,dados!$D$4:$U$272,15,FALSE)</f>
        <v>63.75206</v>
      </c>
      <c r="Q50" s="86">
        <f>VLOOKUP($B50,dados!$D$4:$U$272,16,FALSE)</f>
        <v>98.007109999999997</v>
      </c>
      <c r="R50" s="86">
        <f>VLOOKUP($B50,dados!$D$4:$U$272,17,FALSE)</f>
        <v>29.313410000000001</v>
      </c>
      <c r="S50" s="87">
        <f>VLOOKUP($B50,dados!$D$4:$U$272,18,FALSE)</f>
        <v>109.45502</v>
      </c>
    </row>
    <row r="51" spans="1:19" s="19" customFormat="1" ht="12.75" x14ac:dyDescent="0.2">
      <c r="A51" s="84">
        <f t="shared" si="19"/>
        <v>2020</v>
      </c>
      <c r="B51" s="93">
        <v>43891</v>
      </c>
      <c r="C51" s="86">
        <f>VLOOKUP($B51,dados!$D$4:$U$272,2,FALSE)</f>
        <v>96.828220000000002</v>
      </c>
      <c r="D51" s="86">
        <f>VLOOKUP($B51,dados!$D$4:$U$272,3,FALSE)</f>
        <v>95.077430000000007</v>
      </c>
      <c r="E51" s="86">
        <f>VLOOKUP($B51,dados!$D$4:$U$272,4,FALSE)</f>
        <v>96.725189999999998</v>
      </c>
      <c r="F51" s="86">
        <f>VLOOKUP($B51,dados!$D$4:$U$272,5,FALSE)</f>
        <v>94.079880000000003</v>
      </c>
      <c r="G51" s="86">
        <f>VLOOKUP($B51,dados!$D$4:$U$272,6,FALSE)</f>
        <v>93.892859999999999</v>
      </c>
      <c r="H51" s="86">
        <f>VLOOKUP($B51,dados!$D$4:$U$272,7,FALSE)</f>
        <v>97.181520000000006</v>
      </c>
      <c r="I51" s="86" t="str">
        <f>VLOOKUP($B51,dados!$D$4:$U$272,8,FALSE)</f>
        <v>-</v>
      </c>
      <c r="J51" s="86">
        <f>VLOOKUP($B51,dados!$D$4:$U$272,9,FALSE)</f>
        <v>99.734440000000006</v>
      </c>
      <c r="K51" s="86">
        <f>VLOOKUP($B51,dados!$D$4:$U$272,10,FALSE)</f>
        <v>87.225790000000003</v>
      </c>
      <c r="L51" s="86">
        <f>VLOOKUP($B51,dados!$D$4:$U$272,11,FALSE)</f>
        <v>68.9011</v>
      </c>
      <c r="M51" s="86">
        <f>VLOOKUP($B51,dados!$D$4:$U$272,12,FALSE)</f>
        <v>96.887209999999996</v>
      </c>
      <c r="N51" s="86">
        <f>VLOOKUP($B51,dados!$D$4:$U$272,13,FALSE)</f>
        <v>67.576779999999999</v>
      </c>
      <c r="O51" s="86">
        <f>VLOOKUP($B51,dados!$D$4:$U$272,14,FALSE)</f>
        <v>114.3695</v>
      </c>
      <c r="P51" s="86">
        <f>VLOOKUP($B51,dados!$D$4:$U$272,15,FALSE)</f>
        <v>64.696920000000006</v>
      </c>
      <c r="Q51" s="86">
        <f>VLOOKUP($B51,dados!$D$4:$U$272,16,FALSE)</f>
        <v>82.645780000000002</v>
      </c>
      <c r="R51" s="86">
        <f>VLOOKUP($B51,dados!$D$4:$U$272,17,FALSE)</f>
        <v>42.247039999999998</v>
      </c>
      <c r="S51" s="87">
        <f>VLOOKUP($B51,dados!$D$4:$U$272,18,FALSE)</f>
        <v>112.414</v>
      </c>
    </row>
    <row r="52" spans="1:19" s="19" customFormat="1" ht="12.75" x14ac:dyDescent="0.2">
      <c r="A52" s="84">
        <f t="shared" si="19"/>
        <v>2020</v>
      </c>
      <c r="B52" s="93">
        <v>43922</v>
      </c>
      <c r="C52" s="86">
        <f>VLOOKUP($B52,dados!$D$4:$U$272,2,FALSE)</f>
        <v>84.435419999999993</v>
      </c>
      <c r="D52" s="86">
        <f>VLOOKUP($B52,dados!$D$4:$U$272,3,FALSE)</f>
        <v>79.328119999999998</v>
      </c>
      <c r="E52" s="86">
        <f>VLOOKUP($B52,dados!$D$4:$U$272,4,FALSE)</f>
        <v>97.274240000000006</v>
      </c>
      <c r="F52" s="86">
        <f>VLOOKUP($B52,dados!$D$4:$U$272,5,FALSE)</f>
        <v>68.463650000000001</v>
      </c>
      <c r="G52" s="86">
        <f>VLOOKUP($B52,dados!$D$4:$U$272,6,FALSE)</f>
        <v>82.066739999999996</v>
      </c>
      <c r="H52" s="86">
        <f>VLOOKUP($B52,dados!$D$4:$U$272,7,FALSE)</f>
        <v>50.72099</v>
      </c>
      <c r="I52" s="86" t="str">
        <f>VLOOKUP($B52,dados!$D$4:$U$272,8,FALSE)</f>
        <v>-</v>
      </c>
      <c r="J52" s="86">
        <f>VLOOKUP($B52,dados!$D$4:$U$272,9,FALSE)</f>
        <v>83.552549999999997</v>
      </c>
      <c r="K52" s="86">
        <f>VLOOKUP($B52,dados!$D$4:$U$272,10,FALSE)</f>
        <v>76.128910000000005</v>
      </c>
      <c r="L52" s="86">
        <f>VLOOKUP($B52,dados!$D$4:$U$272,11,FALSE)</f>
        <v>68.964460000000003</v>
      </c>
      <c r="M52" s="86">
        <f>VLOOKUP($B52,dados!$D$4:$U$272,12,FALSE)</f>
        <v>59.188519999999997</v>
      </c>
      <c r="N52" s="86">
        <f>VLOOKUP($B52,dados!$D$4:$U$272,13,FALSE)</f>
        <v>57.216209999999997</v>
      </c>
      <c r="O52" s="86">
        <f>VLOOKUP($B52,dados!$D$4:$U$272,14,FALSE)</f>
        <v>76.751689999999996</v>
      </c>
      <c r="P52" s="86">
        <f>VLOOKUP($B52,dados!$D$4:$U$272,15,FALSE)</f>
        <v>46.871810000000004</v>
      </c>
      <c r="Q52" s="86">
        <f>VLOOKUP($B52,dados!$D$4:$U$272,16,FALSE)</f>
        <v>4.0159500000000001</v>
      </c>
      <c r="R52" s="86">
        <f>VLOOKUP($B52,dados!$D$4:$U$272,17,FALSE)</f>
        <v>29.305040000000002</v>
      </c>
      <c r="S52" s="87">
        <f>VLOOKUP($B52,dados!$D$4:$U$272,18,FALSE)</f>
        <v>93.286109999999994</v>
      </c>
    </row>
    <row r="53" spans="1:19" s="19" customFormat="1" ht="12.75" x14ac:dyDescent="0.2">
      <c r="A53" s="84">
        <f t="shared" si="19"/>
        <v>2020</v>
      </c>
      <c r="B53" s="93">
        <v>43952</v>
      </c>
      <c r="C53" s="86">
        <f>VLOOKUP($B53,dados!$D$4:$U$272,2,FALSE)</f>
        <v>85.087590000000006</v>
      </c>
      <c r="D53" s="86">
        <f>VLOOKUP($B53,dados!$D$4:$U$272,3,FALSE)</f>
        <v>84.406440000000003</v>
      </c>
      <c r="E53" s="86">
        <f>VLOOKUP($B53,dados!$D$4:$U$272,4,FALSE)</f>
        <v>90.688280000000006</v>
      </c>
      <c r="F53" s="86">
        <f>VLOOKUP($B53,dados!$D$4:$U$272,5,FALSE)</f>
        <v>80.603459999999998</v>
      </c>
      <c r="G53" s="86">
        <f>VLOOKUP($B53,dados!$D$4:$U$272,6,FALSE)</f>
        <v>78.762370000000004</v>
      </c>
      <c r="H53" s="86">
        <f>VLOOKUP($B53,dados!$D$4:$U$272,7,FALSE)</f>
        <v>121.95819</v>
      </c>
      <c r="I53" s="86" t="str">
        <f>VLOOKUP($B53,dados!$D$4:$U$272,8,FALSE)</f>
        <v>-</v>
      </c>
      <c r="J53" s="86">
        <f>VLOOKUP($B53,dados!$D$4:$U$272,9,FALSE)</f>
        <v>95.751009999999994</v>
      </c>
      <c r="K53" s="86">
        <f>VLOOKUP($B53,dados!$D$4:$U$272,10,FALSE)</f>
        <v>76.882689999999997</v>
      </c>
      <c r="L53" s="86">
        <f>VLOOKUP($B53,dados!$D$4:$U$272,11,FALSE)</f>
        <v>78.481809999999996</v>
      </c>
      <c r="M53" s="86">
        <f>VLOOKUP($B53,dados!$D$4:$U$272,12,FALSE)</f>
        <v>48.69388</v>
      </c>
      <c r="N53" s="86">
        <f>VLOOKUP($B53,dados!$D$4:$U$272,13,FALSE)</f>
        <v>68.482730000000004</v>
      </c>
      <c r="O53" s="86">
        <f>VLOOKUP($B53,dados!$D$4:$U$272,14,FALSE)</f>
        <v>87.770229999999998</v>
      </c>
      <c r="P53" s="86">
        <f>VLOOKUP($B53,dados!$D$4:$U$272,15,FALSE)</f>
        <v>53.307850000000002</v>
      </c>
      <c r="Q53" s="86">
        <f>VLOOKUP($B53,dados!$D$4:$U$272,16,FALSE)</f>
        <v>22.238050000000001</v>
      </c>
      <c r="R53" s="86">
        <f>VLOOKUP($B53,dados!$D$4:$U$272,17,FALSE)</f>
        <v>34.765810000000002</v>
      </c>
      <c r="S53" s="87">
        <f>VLOOKUP($B53,dados!$D$4:$U$272,18,FALSE)</f>
        <v>94.495570000000001</v>
      </c>
    </row>
    <row r="54" spans="1:19" s="19" customFormat="1" ht="12.75" x14ac:dyDescent="0.2">
      <c r="A54" s="84">
        <f t="shared" si="19"/>
        <v>2020</v>
      </c>
      <c r="B54" s="93">
        <v>43983</v>
      </c>
      <c r="C54" s="86">
        <f>VLOOKUP($B54,dados!$D$4:$U$272,2,FALSE)</f>
        <v>86.153769999999994</v>
      </c>
      <c r="D54" s="86">
        <f>VLOOKUP($B54,dados!$D$4:$U$272,3,FALSE)</f>
        <v>84.205070000000006</v>
      </c>
      <c r="E54" s="86">
        <f>VLOOKUP($B54,dados!$D$4:$U$272,4,FALSE)</f>
        <v>98.154030000000006</v>
      </c>
      <c r="F54" s="86">
        <f>VLOOKUP($B54,dados!$D$4:$U$272,5,FALSE)</f>
        <v>75.760450000000006</v>
      </c>
      <c r="G54" s="86">
        <f>VLOOKUP($B54,dados!$D$4:$U$272,6,FALSE)</f>
        <v>99.42868</v>
      </c>
      <c r="H54" s="86">
        <f>VLOOKUP($B54,dados!$D$4:$U$272,7,FALSE)</f>
        <v>116.89098</v>
      </c>
      <c r="I54" s="86" t="str">
        <f>VLOOKUP($B54,dados!$D$4:$U$272,8,FALSE)</f>
        <v>-</v>
      </c>
      <c r="J54" s="86">
        <f>VLOOKUP($B54,dados!$D$4:$U$272,9,FALSE)</f>
        <v>75.234229999999997</v>
      </c>
      <c r="K54" s="86">
        <f>VLOOKUP($B54,dados!$D$4:$U$272,10,FALSE)</f>
        <v>90.937709999999996</v>
      </c>
      <c r="L54" s="86">
        <f>VLOOKUP($B54,dados!$D$4:$U$272,11,FALSE)</f>
        <v>74.924120000000002</v>
      </c>
      <c r="M54" s="86">
        <f>VLOOKUP($B54,dados!$D$4:$U$272,12,FALSE)</f>
        <v>74.974360000000004</v>
      </c>
      <c r="N54" s="86">
        <f>VLOOKUP($B54,dados!$D$4:$U$272,13,FALSE)</f>
        <v>70.604349999999997</v>
      </c>
      <c r="O54" s="86">
        <f>VLOOKUP($B54,dados!$D$4:$U$272,14,FALSE)</f>
        <v>82.769859999999994</v>
      </c>
      <c r="P54" s="86">
        <f>VLOOKUP($B54,dados!$D$4:$U$272,15,FALSE)</f>
        <v>63.63597</v>
      </c>
      <c r="Q54" s="86">
        <f>VLOOKUP($B54,dados!$D$4:$U$272,16,FALSE)</f>
        <v>32.507420000000003</v>
      </c>
      <c r="R54" s="86">
        <f>VLOOKUP($B54,dados!$D$4:$U$272,17,FALSE)</f>
        <v>36.492440000000002</v>
      </c>
      <c r="S54" s="87">
        <f>VLOOKUP($B54,dados!$D$4:$U$272,18,FALSE)</f>
        <v>92.735290000000006</v>
      </c>
    </row>
    <row r="55" spans="1:19" s="19" customFormat="1" ht="12.75" x14ac:dyDescent="0.2">
      <c r="A55" s="84">
        <f t="shared" si="19"/>
        <v>2020</v>
      </c>
      <c r="B55" s="93">
        <v>44013</v>
      </c>
      <c r="C55" s="86">
        <f>VLOOKUP($B55,dados!$D$4:$U$272,2,FALSE)</f>
        <v>93.321479999999994</v>
      </c>
      <c r="D55" s="86">
        <f>VLOOKUP($B55,dados!$D$4:$U$272,3,FALSE)</f>
        <v>97.444249999999997</v>
      </c>
      <c r="E55" s="86">
        <f>VLOOKUP($B55,dados!$D$4:$U$272,4,FALSE)</f>
        <v>109.55964</v>
      </c>
      <c r="F55" s="86">
        <f>VLOOKUP($B55,dados!$D$4:$U$272,5,FALSE)</f>
        <v>90.109660000000005</v>
      </c>
      <c r="G55" s="86">
        <f>VLOOKUP($B55,dados!$D$4:$U$272,6,FALSE)</f>
        <v>104.86695</v>
      </c>
      <c r="H55" s="86">
        <f>VLOOKUP($B55,dados!$D$4:$U$272,7,FALSE)</f>
        <v>114.20614999999999</v>
      </c>
      <c r="I55" s="86" t="str">
        <f>VLOOKUP($B55,dados!$D$4:$U$272,8,FALSE)</f>
        <v>-</v>
      </c>
      <c r="J55" s="86">
        <f>VLOOKUP($B55,dados!$D$4:$U$272,9,FALSE)</f>
        <v>86.328990000000005</v>
      </c>
      <c r="K55" s="86">
        <f>VLOOKUP($B55,dados!$D$4:$U$272,10,FALSE)</f>
        <v>110.52843</v>
      </c>
      <c r="L55" s="86">
        <f>VLOOKUP($B55,dados!$D$4:$U$272,11,FALSE)</f>
        <v>82.511849999999995</v>
      </c>
      <c r="M55" s="86">
        <f>VLOOKUP($B55,dados!$D$4:$U$272,12,FALSE)</f>
        <v>107.79597</v>
      </c>
      <c r="N55" s="86">
        <f>VLOOKUP($B55,dados!$D$4:$U$272,13,FALSE)</f>
        <v>86.552040000000005</v>
      </c>
      <c r="O55" s="86">
        <f>VLOOKUP($B55,dados!$D$4:$U$272,14,FALSE)</f>
        <v>95.576980000000006</v>
      </c>
      <c r="P55" s="86">
        <f>VLOOKUP($B55,dados!$D$4:$U$272,15,FALSE)</f>
        <v>79.062950000000001</v>
      </c>
      <c r="Q55" s="86">
        <f>VLOOKUP($B55,dados!$D$4:$U$272,16,FALSE)</f>
        <v>71.626429999999999</v>
      </c>
      <c r="R55" s="86">
        <f>VLOOKUP($B55,dados!$D$4:$U$272,17,FALSE)</f>
        <v>38.586730000000003</v>
      </c>
      <c r="S55" s="87">
        <f>VLOOKUP($B55,dados!$D$4:$U$272,18,FALSE)</f>
        <v>101.46653999999999</v>
      </c>
    </row>
    <row r="56" spans="1:19" s="19" customFormat="1" ht="12.75" x14ac:dyDescent="0.2">
      <c r="A56" s="84">
        <f t="shared" si="19"/>
        <v>2020</v>
      </c>
      <c r="B56" s="93">
        <v>44044</v>
      </c>
      <c r="C56" s="86">
        <f>VLOOKUP($B56,dados!$D$4:$U$272,2,FALSE)</f>
        <v>96.627269999999996</v>
      </c>
      <c r="D56" s="86">
        <f>VLOOKUP($B56,dados!$D$4:$U$272,3,FALSE)</f>
        <v>100.32905</v>
      </c>
      <c r="E56" s="86">
        <f>VLOOKUP($B56,dados!$D$4:$U$272,4,FALSE)</f>
        <v>109.20714</v>
      </c>
      <c r="F56" s="86">
        <f>VLOOKUP($B56,dados!$D$4:$U$272,5,FALSE)</f>
        <v>94.954310000000007</v>
      </c>
      <c r="G56" s="86">
        <f>VLOOKUP($B56,dados!$D$4:$U$272,6,FALSE)</f>
        <v>105.10911</v>
      </c>
      <c r="H56" s="86">
        <f>VLOOKUP($B56,dados!$D$4:$U$272,7,FALSE)</f>
        <v>110.59926</v>
      </c>
      <c r="I56" s="86" t="str">
        <f>VLOOKUP($B56,dados!$D$4:$U$272,8,FALSE)</f>
        <v>-</v>
      </c>
      <c r="J56" s="86">
        <f>VLOOKUP($B56,dados!$D$4:$U$272,9,FALSE)</f>
        <v>98.271050000000002</v>
      </c>
      <c r="K56" s="86">
        <f>VLOOKUP($B56,dados!$D$4:$U$272,10,FALSE)</f>
        <v>100.94329</v>
      </c>
      <c r="L56" s="86">
        <f>VLOOKUP($B56,dados!$D$4:$U$272,11,FALSE)</f>
        <v>66.264439999999993</v>
      </c>
      <c r="M56" s="86">
        <f>VLOOKUP($B56,dados!$D$4:$U$272,12,FALSE)</f>
        <v>109.03655999999999</v>
      </c>
      <c r="N56" s="86">
        <f>VLOOKUP($B56,dados!$D$4:$U$272,13,FALSE)</f>
        <v>87.533799999999999</v>
      </c>
      <c r="O56" s="86">
        <f>VLOOKUP($B56,dados!$D$4:$U$272,14,FALSE)</f>
        <v>104.49524</v>
      </c>
      <c r="P56" s="86">
        <f>VLOOKUP($B56,dados!$D$4:$U$272,15,FALSE)</f>
        <v>83.990390000000005</v>
      </c>
      <c r="Q56" s="86">
        <f>VLOOKUP($B56,dados!$D$4:$U$272,16,FALSE)</f>
        <v>81.298019999999994</v>
      </c>
      <c r="R56" s="86">
        <f>VLOOKUP($B56,dados!$D$4:$U$272,17,FALSE)</f>
        <v>34.145299999999999</v>
      </c>
      <c r="S56" s="87">
        <f>VLOOKUP($B56,dados!$D$4:$U$272,18,FALSE)</f>
        <v>94.175420000000003</v>
      </c>
    </row>
    <row r="57" spans="1:19" s="19" customFormat="1" ht="12.75" x14ac:dyDescent="0.2">
      <c r="A57" s="84">
        <f t="shared" si="19"/>
        <v>2020</v>
      </c>
      <c r="B57" s="93">
        <v>44075</v>
      </c>
      <c r="C57" s="86">
        <f>VLOOKUP($B57,dados!$D$4:$U$272,2,FALSE)</f>
        <v>93.041629999999998</v>
      </c>
      <c r="D57" s="86">
        <f>VLOOKUP($B57,dados!$D$4:$U$272,3,FALSE)</f>
        <v>94.64179</v>
      </c>
      <c r="E57" s="86">
        <f>VLOOKUP($B57,dados!$D$4:$U$272,4,FALSE)</f>
        <v>100.51927000000001</v>
      </c>
      <c r="F57" s="86">
        <f>VLOOKUP($B57,dados!$D$4:$U$272,5,FALSE)</f>
        <v>91.083600000000004</v>
      </c>
      <c r="G57" s="86">
        <f>VLOOKUP($B57,dados!$D$4:$U$272,6,FALSE)</f>
        <v>105.38703</v>
      </c>
      <c r="H57" s="86">
        <f>VLOOKUP($B57,dados!$D$4:$U$272,7,FALSE)</f>
        <v>106.38598</v>
      </c>
      <c r="I57" s="86" t="str">
        <f>VLOOKUP($B57,dados!$D$4:$U$272,8,FALSE)</f>
        <v>-</v>
      </c>
      <c r="J57" s="86">
        <f>VLOOKUP($B57,dados!$D$4:$U$272,9,FALSE)</f>
        <v>88.959029999999998</v>
      </c>
      <c r="K57" s="86">
        <f>VLOOKUP($B57,dados!$D$4:$U$272,10,FALSE)</f>
        <v>96.839169999999996</v>
      </c>
      <c r="L57" s="86">
        <f>VLOOKUP($B57,dados!$D$4:$U$272,11,FALSE)</f>
        <v>59.814149999999998</v>
      </c>
      <c r="M57" s="86">
        <f>VLOOKUP($B57,dados!$D$4:$U$272,12,FALSE)</f>
        <v>115.39413999999999</v>
      </c>
      <c r="N57" s="86">
        <f>VLOOKUP($B57,dados!$D$4:$U$272,13,FALSE)</f>
        <v>87.086579999999998</v>
      </c>
      <c r="O57" s="86">
        <f>VLOOKUP($B57,dados!$D$4:$U$272,14,FALSE)</f>
        <v>101.68465</v>
      </c>
      <c r="P57" s="86">
        <f>VLOOKUP($B57,dados!$D$4:$U$272,15,FALSE)</f>
        <v>77.177419999999998</v>
      </c>
      <c r="Q57" s="86">
        <f>VLOOKUP($B57,dados!$D$4:$U$272,16,FALSE)</f>
        <v>89.670169999999999</v>
      </c>
      <c r="R57" s="86">
        <f>VLOOKUP($B57,dados!$D$4:$U$272,17,FALSE)</f>
        <v>35.520789999999998</v>
      </c>
      <c r="S57" s="87">
        <f>VLOOKUP($B57,dados!$D$4:$U$272,18,FALSE)</f>
        <v>96.911439999999999</v>
      </c>
    </row>
    <row r="58" spans="1:19" s="19" customFormat="1" ht="12.75" x14ac:dyDescent="0.2">
      <c r="A58" s="84">
        <f t="shared" si="19"/>
        <v>2020</v>
      </c>
      <c r="B58" s="93">
        <v>44105</v>
      </c>
      <c r="C58" s="86">
        <f>VLOOKUP($B58,dados!$D$4:$U$272,2,FALSE)</f>
        <v>89.63879</v>
      </c>
      <c r="D58" s="86">
        <f>VLOOKUP($B58,dados!$D$4:$U$272,3,FALSE)</f>
        <v>95.178640000000001</v>
      </c>
      <c r="E58" s="86">
        <f>VLOOKUP($B58,dados!$D$4:$U$272,4,FALSE)</f>
        <v>101.32116000000001</v>
      </c>
      <c r="F58" s="86">
        <f>VLOOKUP($B58,dados!$D$4:$U$272,5,FALSE)</f>
        <v>91.459980000000002</v>
      </c>
      <c r="G58" s="86">
        <f>VLOOKUP($B58,dados!$D$4:$U$272,6,FALSE)</f>
        <v>119.62220000000001</v>
      </c>
      <c r="H58" s="86">
        <f>VLOOKUP($B58,dados!$D$4:$U$272,7,FALSE)</f>
        <v>119.45216000000001</v>
      </c>
      <c r="I58" s="86" t="str">
        <f>VLOOKUP($B58,dados!$D$4:$U$272,8,FALSE)</f>
        <v>-</v>
      </c>
      <c r="J58" s="86">
        <f>VLOOKUP($B58,dados!$D$4:$U$272,9,FALSE)</f>
        <v>78.301069999999996</v>
      </c>
      <c r="K58" s="86">
        <f>VLOOKUP($B58,dados!$D$4:$U$272,10,FALSE)</f>
        <v>110.64234999999999</v>
      </c>
      <c r="L58" s="86">
        <f>VLOOKUP($B58,dados!$D$4:$U$272,11,FALSE)</f>
        <v>70.570970000000003</v>
      </c>
      <c r="M58" s="86">
        <f>VLOOKUP($B58,dados!$D$4:$U$272,12,FALSE)</f>
        <v>117.77487000000001</v>
      </c>
      <c r="N58" s="86">
        <f>VLOOKUP($B58,dados!$D$4:$U$272,13,FALSE)</f>
        <v>94.777339999999995</v>
      </c>
      <c r="O58" s="86">
        <f>VLOOKUP($B58,dados!$D$4:$U$272,14,FALSE)</f>
        <v>104.66949</v>
      </c>
      <c r="P58" s="86">
        <f>VLOOKUP($B58,dados!$D$4:$U$272,15,FALSE)</f>
        <v>95.404769999999999</v>
      </c>
      <c r="Q58" s="86">
        <f>VLOOKUP($B58,dados!$D$4:$U$272,16,FALSE)</f>
        <v>93.597130000000007</v>
      </c>
      <c r="R58" s="86">
        <f>VLOOKUP($B58,dados!$D$4:$U$272,17,FALSE)</f>
        <v>34.557510000000001</v>
      </c>
      <c r="S58" s="87">
        <f>VLOOKUP($B58,dados!$D$4:$U$272,18,FALSE)</f>
        <v>96.182770000000005</v>
      </c>
    </row>
    <row r="59" spans="1:19" s="19" customFormat="1" ht="12.75" x14ac:dyDescent="0.2">
      <c r="A59" s="84">
        <f t="shared" si="19"/>
        <v>2020</v>
      </c>
      <c r="B59" s="93">
        <v>44136</v>
      </c>
      <c r="C59" s="86">
        <f>VLOOKUP($B59,dados!$D$4:$U$272,2,FALSE)</f>
        <v>90.593969999999999</v>
      </c>
      <c r="D59" s="86">
        <f>VLOOKUP($B59,dados!$D$4:$U$272,3,FALSE)</f>
        <v>91.682249999999996</v>
      </c>
      <c r="E59" s="86">
        <f>VLOOKUP($B59,dados!$D$4:$U$272,4,FALSE)</f>
        <v>87.377650000000003</v>
      </c>
      <c r="F59" s="86">
        <f>VLOOKUP($B59,dados!$D$4:$U$272,5,FALSE)</f>
        <v>94.288229999999999</v>
      </c>
      <c r="G59" s="86">
        <f>VLOOKUP($B59,dados!$D$4:$U$272,6,FALSE)</f>
        <v>118.47532</v>
      </c>
      <c r="H59" s="86">
        <f>VLOOKUP($B59,dados!$D$4:$U$272,7,FALSE)</f>
        <v>118.95187</v>
      </c>
      <c r="I59" s="86" t="str">
        <f>VLOOKUP($B59,dados!$D$4:$U$272,8,FALSE)</f>
        <v>-</v>
      </c>
      <c r="J59" s="86">
        <f>VLOOKUP($B59,dados!$D$4:$U$272,9,FALSE)</f>
        <v>93.051090000000002</v>
      </c>
      <c r="K59" s="86">
        <f>VLOOKUP($B59,dados!$D$4:$U$272,10,FALSE)</f>
        <v>101.84097</v>
      </c>
      <c r="L59" s="86">
        <f>VLOOKUP($B59,dados!$D$4:$U$272,11,FALSE)</f>
        <v>73.506519999999995</v>
      </c>
      <c r="M59" s="86">
        <f>VLOOKUP($B59,dados!$D$4:$U$272,12,FALSE)</f>
        <v>107.04217</v>
      </c>
      <c r="N59" s="86">
        <f>VLOOKUP($B59,dados!$D$4:$U$272,13,FALSE)</f>
        <v>88.64631</v>
      </c>
      <c r="O59" s="86">
        <f>VLOOKUP($B59,dados!$D$4:$U$272,14,FALSE)</f>
        <v>96.460300000000004</v>
      </c>
      <c r="P59" s="86">
        <f>VLOOKUP($B59,dados!$D$4:$U$272,15,FALSE)</f>
        <v>90.676180000000002</v>
      </c>
      <c r="Q59" s="86">
        <f>VLOOKUP($B59,dados!$D$4:$U$272,16,FALSE)</f>
        <v>88.629670000000004</v>
      </c>
      <c r="R59" s="86">
        <f>VLOOKUP($B59,dados!$D$4:$U$272,17,FALSE)</f>
        <v>31.129760000000001</v>
      </c>
      <c r="S59" s="87">
        <f>VLOOKUP($B59,dados!$D$4:$U$272,18,FALSE)</f>
        <v>90.283720000000002</v>
      </c>
    </row>
    <row r="60" spans="1:19" s="19" customFormat="1" ht="12.75" x14ac:dyDescent="0.2">
      <c r="A60" s="84">
        <f t="shared" si="19"/>
        <v>2020</v>
      </c>
      <c r="B60" s="93">
        <v>44166</v>
      </c>
      <c r="C60" s="86">
        <f>VLOOKUP($B60,dados!$D$4:$U$272,2,FALSE)</f>
        <v>91.140159999999995</v>
      </c>
      <c r="D60" s="86">
        <f>VLOOKUP($B60,dados!$D$4:$U$272,3,FALSE)</f>
        <v>91.136989999999997</v>
      </c>
      <c r="E60" s="86">
        <f>VLOOKUP($B60,dados!$D$4:$U$272,4,FALSE)</f>
        <v>91.686189999999996</v>
      </c>
      <c r="F60" s="86">
        <f>VLOOKUP($B60,dados!$D$4:$U$272,5,FALSE)</f>
        <v>90.804519999999997</v>
      </c>
      <c r="G60" s="86">
        <f>VLOOKUP($B60,dados!$D$4:$U$272,6,FALSE)</f>
        <v>85.32244</v>
      </c>
      <c r="H60" s="86">
        <f>VLOOKUP($B60,dados!$D$4:$U$272,7,FALSE)</f>
        <v>125.58932</v>
      </c>
      <c r="I60" s="86" t="str">
        <f>VLOOKUP($B60,dados!$D$4:$U$272,8,FALSE)</f>
        <v>-</v>
      </c>
      <c r="J60" s="86">
        <f>VLOOKUP($B60,dados!$D$4:$U$272,9,FALSE)</f>
        <v>95.012540000000001</v>
      </c>
      <c r="K60" s="86">
        <f>VLOOKUP($B60,dados!$D$4:$U$272,10,FALSE)</f>
        <v>72.395619999999994</v>
      </c>
      <c r="L60" s="86">
        <f>VLOOKUP($B60,dados!$D$4:$U$272,11,FALSE)</f>
        <v>57.131439999999998</v>
      </c>
      <c r="M60" s="86">
        <f>VLOOKUP($B60,dados!$D$4:$U$272,12,FALSE)</f>
        <v>99.068420000000003</v>
      </c>
      <c r="N60" s="86">
        <f>VLOOKUP($B60,dados!$D$4:$U$272,13,FALSE)</f>
        <v>76.138009999999994</v>
      </c>
      <c r="O60" s="86">
        <f>VLOOKUP($B60,dados!$D$4:$U$272,14,FALSE)</f>
        <v>110.84350000000001</v>
      </c>
      <c r="P60" s="86">
        <f>VLOOKUP($B60,dados!$D$4:$U$272,15,FALSE)</f>
        <v>89.72175</v>
      </c>
      <c r="Q60" s="86">
        <f>VLOOKUP($B60,dados!$D$4:$U$272,16,FALSE)</f>
        <v>75.032849999999996</v>
      </c>
      <c r="R60" s="86">
        <f>VLOOKUP($B60,dados!$D$4:$U$272,17,FALSE)</f>
        <v>26.61722</v>
      </c>
      <c r="S60" s="87">
        <f>VLOOKUP($B60,dados!$D$4:$U$272,18,FALSE)</f>
        <v>90.828980000000001</v>
      </c>
    </row>
    <row r="61" spans="1:19" s="19" customFormat="1" ht="12.75" x14ac:dyDescent="0.2">
      <c r="A61" s="84"/>
      <c r="B61" s="89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7"/>
    </row>
    <row r="62" spans="1:19" s="19" customFormat="1" ht="12.75" x14ac:dyDescent="0.2">
      <c r="A62" s="92">
        <f>A63</f>
        <v>2021</v>
      </c>
      <c r="B62" s="89" t="s">
        <v>6</v>
      </c>
      <c r="C62" s="90">
        <f>SUM(C63:C74)</f>
        <v>1147.5160100000001</v>
      </c>
      <c r="D62" s="90">
        <f>SUM(D63:D74)</f>
        <v>1147.66913</v>
      </c>
      <c r="E62" s="90">
        <f>SUM(E63:E74)</f>
        <v>1159.4106900000002</v>
      </c>
      <c r="F62" s="90">
        <f t="shared" ref="F62:S62" si="20">SUM(F63:F74)</f>
        <v>1140.5608500000001</v>
      </c>
      <c r="G62" s="90">
        <f t="shared" si="20"/>
        <v>1153.8724400000001</v>
      </c>
      <c r="H62" s="90">
        <f t="shared" si="20"/>
        <v>1269.30448</v>
      </c>
      <c r="I62" s="90">
        <f t="shared" si="20"/>
        <v>0</v>
      </c>
      <c r="J62" s="90">
        <f t="shared" si="20"/>
        <v>1068.0952199999999</v>
      </c>
      <c r="K62" s="90">
        <f t="shared" si="20"/>
        <v>1181.56351</v>
      </c>
      <c r="L62" s="90">
        <f t="shared" si="20"/>
        <v>938.16615999999999</v>
      </c>
      <c r="M62" s="90">
        <f t="shared" si="20"/>
        <v>1254.8653599999998</v>
      </c>
      <c r="N62" s="90">
        <f t="shared" si="20"/>
        <v>1092.4471700000001</v>
      </c>
      <c r="O62" s="90">
        <f t="shared" si="20"/>
        <v>1366.32293</v>
      </c>
      <c r="P62" s="90">
        <f t="shared" si="20"/>
        <v>1266.4530000000002</v>
      </c>
      <c r="Q62" s="90">
        <f t="shared" si="20"/>
        <v>1150.3765699999999</v>
      </c>
      <c r="R62" s="90">
        <f t="shared" si="20"/>
        <v>533.01889999999992</v>
      </c>
      <c r="S62" s="91">
        <f t="shared" si="20"/>
        <v>1183.5651499999999</v>
      </c>
    </row>
    <row r="63" spans="1:19" s="19" customFormat="1" ht="12.75" x14ac:dyDescent="0.2">
      <c r="A63" s="84">
        <f>YEAR(B63)</f>
        <v>2021</v>
      </c>
      <c r="B63" s="93">
        <v>44197</v>
      </c>
      <c r="C63" s="86">
        <f>VLOOKUP($B63,dados!$D$4:$U$272,2,FALSE)</f>
        <v>93.054580000000001</v>
      </c>
      <c r="D63" s="86">
        <f>VLOOKUP($B63,dados!$D$4:$U$272,3,FALSE)</f>
        <v>94.081829999999997</v>
      </c>
      <c r="E63" s="86">
        <f>VLOOKUP($B63,dados!$D$4:$U$272,4,FALSE)</f>
        <v>97.343980000000002</v>
      </c>
      <c r="F63" s="86">
        <f>VLOOKUP($B63,dados!$D$4:$U$272,5,FALSE)</f>
        <v>92.106939999999994</v>
      </c>
      <c r="G63" s="86">
        <f>VLOOKUP($B63,dados!$D$4:$U$272,6,FALSE)</f>
        <v>101.11375</v>
      </c>
      <c r="H63" s="86">
        <f>VLOOKUP($B63,dados!$D$4:$U$272,7,FALSE)</f>
        <v>109.17161</v>
      </c>
      <c r="I63" s="86" t="str">
        <f>VLOOKUP($B63,dados!$D$4:$U$272,8,FALSE)</f>
        <v>-</v>
      </c>
      <c r="J63" s="86">
        <f>VLOOKUP($B63,dados!$D$4:$U$272,9,FALSE)</f>
        <v>91.22466</v>
      </c>
      <c r="K63" s="86">
        <f>VLOOKUP($B63,dados!$D$4:$U$272,10,FALSE)</f>
        <v>83.527140000000003</v>
      </c>
      <c r="L63" s="86">
        <f>VLOOKUP($B63,dados!$D$4:$U$272,11,FALSE)</f>
        <v>71.812269999999998</v>
      </c>
      <c r="M63" s="86">
        <f>VLOOKUP($B63,dados!$D$4:$U$272,12,FALSE)</f>
        <v>108.88976</v>
      </c>
      <c r="N63" s="86">
        <f>VLOOKUP($B63,dados!$D$4:$U$272,13,FALSE)</f>
        <v>90.212090000000003</v>
      </c>
      <c r="O63" s="86">
        <f>VLOOKUP($B63,dados!$D$4:$U$272,14,FALSE)</f>
        <v>104.7953</v>
      </c>
      <c r="P63" s="86">
        <f>VLOOKUP($B63,dados!$D$4:$U$272,15,FALSE)</f>
        <v>87.262420000000006</v>
      </c>
      <c r="Q63" s="86">
        <f>VLOOKUP($B63,dados!$D$4:$U$272,16,FALSE)</f>
        <v>87.313149999999993</v>
      </c>
      <c r="R63" s="86">
        <f>VLOOKUP($B63,dados!$D$4:$U$272,17,FALSE)</f>
        <v>26.733499999999999</v>
      </c>
      <c r="S63" s="87">
        <f>VLOOKUP($B63,dados!$D$4:$U$272,18,FALSE)</f>
        <v>90.714290000000005</v>
      </c>
    </row>
    <row r="64" spans="1:19" s="19" customFormat="1" ht="12.75" x14ac:dyDescent="0.2">
      <c r="A64" s="84">
        <f t="shared" ref="A64:A74" si="21">YEAR(B64)</f>
        <v>2021</v>
      </c>
      <c r="B64" s="93">
        <v>44228</v>
      </c>
      <c r="C64" s="86">
        <f>VLOOKUP($B64,dados!$D$4:$U$272,2,FALSE)</f>
        <v>95.078130000000002</v>
      </c>
      <c r="D64" s="86">
        <f>VLOOKUP($B64,dados!$D$4:$U$272,3,FALSE)</f>
        <v>87.152100000000004</v>
      </c>
      <c r="E64" s="86">
        <f>VLOOKUP($B64,dados!$D$4:$U$272,4,FALSE)</f>
        <v>86.473389999999995</v>
      </c>
      <c r="F64" s="86">
        <f>VLOOKUP($B64,dados!$D$4:$U$272,5,FALSE)</f>
        <v>87.562989999999999</v>
      </c>
      <c r="G64" s="86">
        <f>VLOOKUP($B64,dados!$D$4:$U$272,6,FALSE)</f>
        <v>84.462000000000003</v>
      </c>
      <c r="H64" s="86">
        <f>VLOOKUP($B64,dados!$D$4:$U$272,7,FALSE)</f>
        <v>99.296090000000007</v>
      </c>
      <c r="I64" s="86" t="str">
        <f>VLOOKUP($B64,dados!$D$4:$U$272,8,FALSE)</f>
        <v>-</v>
      </c>
      <c r="J64" s="86">
        <f>VLOOKUP($B64,dados!$D$4:$U$272,9,FALSE)</f>
        <v>82.673649999999995</v>
      </c>
      <c r="K64" s="86">
        <f>VLOOKUP($B64,dados!$D$4:$U$272,10,FALSE)</f>
        <v>84.648399999999995</v>
      </c>
      <c r="L64" s="86">
        <f>VLOOKUP($B64,dados!$D$4:$U$272,11,FALSE)</f>
        <v>68.203389999999999</v>
      </c>
      <c r="M64" s="86">
        <f>VLOOKUP($B64,dados!$D$4:$U$272,12,FALSE)</f>
        <v>96.247110000000006</v>
      </c>
      <c r="N64" s="86">
        <f>VLOOKUP($B64,dados!$D$4:$U$272,13,FALSE)</f>
        <v>85.050330000000002</v>
      </c>
      <c r="O64" s="86">
        <f>VLOOKUP($B64,dados!$D$4:$U$272,14,FALSE)</f>
        <v>109.90343</v>
      </c>
      <c r="P64" s="86">
        <f>VLOOKUP($B64,dados!$D$4:$U$272,15,FALSE)</f>
        <v>83.024109999999993</v>
      </c>
      <c r="Q64" s="86">
        <f>VLOOKUP($B64,dados!$D$4:$U$272,16,FALSE)</f>
        <v>92.112769999999998</v>
      </c>
      <c r="R64" s="86">
        <f>VLOOKUP($B64,dados!$D$4:$U$272,17,FALSE)</f>
        <v>26.135999999999999</v>
      </c>
      <c r="S64" s="87">
        <f>VLOOKUP($B64,dados!$D$4:$U$272,18,FALSE)</f>
        <v>90.493369999999999</v>
      </c>
    </row>
    <row r="65" spans="1:19" s="19" customFormat="1" ht="12.75" x14ac:dyDescent="0.2">
      <c r="A65" s="84">
        <f t="shared" si="21"/>
        <v>2021</v>
      </c>
      <c r="B65" s="93">
        <v>44256</v>
      </c>
      <c r="C65" s="86">
        <f>VLOOKUP($B65,dados!$D$4:$U$272,2,FALSE)</f>
        <v>92.008870000000002</v>
      </c>
      <c r="D65" s="86">
        <f>VLOOKUP($B65,dados!$D$4:$U$272,3,FALSE)</f>
        <v>90.397660000000002</v>
      </c>
      <c r="E65" s="86">
        <f>VLOOKUP($B65,dados!$D$4:$U$272,4,FALSE)</f>
        <v>95.417029999999997</v>
      </c>
      <c r="F65" s="86">
        <f>VLOOKUP($B65,dados!$D$4:$U$272,5,FALSE)</f>
        <v>87.358959999999996</v>
      </c>
      <c r="G65" s="86">
        <f>VLOOKUP($B65,dados!$D$4:$U$272,6,FALSE)</f>
        <v>92.983949999999993</v>
      </c>
      <c r="H65" s="86">
        <f>VLOOKUP($B65,dados!$D$4:$U$272,7,FALSE)</f>
        <v>83.654039999999995</v>
      </c>
      <c r="I65" s="86" t="str">
        <f>VLOOKUP($B65,dados!$D$4:$U$272,8,FALSE)</f>
        <v>-</v>
      </c>
      <c r="J65" s="86">
        <f>VLOOKUP($B65,dados!$D$4:$U$272,9,FALSE)</f>
        <v>71.158649999999994</v>
      </c>
      <c r="K65" s="86">
        <f>VLOOKUP($B65,dados!$D$4:$U$272,10,FALSE)</f>
        <v>89.006349999999998</v>
      </c>
      <c r="L65" s="86">
        <f>VLOOKUP($B65,dados!$D$4:$U$272,11,FALSE)</f>
        <v>81.164100000000005</v>
      </c>
      <c r="M65" s="86">
        <f>VLOOKUP($B65,dados!$D$4:$U$272,12,FALSE)</f>
        <v>111.03942000000001</v>
      </c>
      <c r="N65" s="86">
        <f>VLOOKUP($B65,dados!$D$4:$U$272,13,FALSE)</f>
        <v>92.060559999999995</v>
      </c>
      <c r="O65" s="86">
        <f>VLOOKUP($B65,dados!$D$4:$U$272,14,FALSE)</f>
        <v>122.63106999999999</v>
      </c>
      <c r="P65" s="86">
        <f>VLOOKUP($B65,dados!$D$4:$U$272,15,FALSE)</f>
        <v>94.897829999999999</v>
      </c>
      <c r="Q65" s="86">
        <f>VLOOKUP($B65,dados!$D$4:$U$272,16,FALSE)</f>
        <v>93.546019999999999</v>
      </c>
      <c r="R65" s="86">
        <f>VLOOKUP($B65,dados!$D$4:$U$272,17,FALSE)</f>
        <v>40.638359999999999</v>
      </c>
      <c r="S65" s="87">
        <f>VLOOKUP($B65,dados!$D$4:$U$272,18,FALSE)</f>
        <v>102.33439</v>
      </c>
    </row>
    <row r="66" spans="1:19" s="19" customFormat="1" ht="12.75" x14ac:dyDescent="0.2">
      <c r="A66" s="84">
        <f t="shared" si="21"/>
        <v>2021</v>
      </c>
      <c r="B66" s="93">
        <v>44287</v>
      </c>
      <c r="C66" s="86">
        <f>VLOOKUP($B66,dados!$D$4:$U$272,2,FALSE)</f>
        <v>92.690839999999994</v>
      </c>
      <c r="D66" s="86">
        <f>VLOOKUP($B66,dados!$D$4:$U$272,3,FALSE)</f>
        <v>87.645960000000002</v>
      </c>
      <c r="E66" s="86">
        <f>VLOOKUP($B66,dados!$D$4:$U$272,4,FALSE)</f>
        <v>96.449399999999997</v>
      </c>
      <c r="F66" s="86">
        <f>VLOOKUP($B66,dados!$D$4:$U$272,5,FALSE)</f>
        <v>82.316410000000005</v>
      </c>
      <c r="G66" s="86">
        <f>VLOOKUP($B66,dados!$D$4:$U$272,6,FALSE)</f>
        <v>85.130250000000004</v>
      </c>
      <c r="H66" s="86">
        <f>VLOOKUP($B66,dados!$D$4:$U$272,7,FALSE)</f>
        <v>107.87138</v>
      </c>
      <c r="I66" s="86" t="str">
        <f>VLOOKUP($B66,dados!$D$4:$U$272,8,FALSE)</f>
        <v>-</v>
      </c>
      <c r="J66" s="86">
        <f>VLOOKUP($B66,dados!$D$4:$U$272,9,FALSE)</f>
        <v>63.147790000000001</v>
      </c>
      <c r="K66" s="86">
        <f>VLOOKUP($B66,dados!$D$4:$U$272,10,FALSE)</f>
        <v>87.061890000000005</v>
      </c>
      <c r="L66" s="86">
        <f>VLOOKUP($B66,dados!$D$4:$U$272,11,FALSE)</f>
        <v>61.726469999999999</v>
      </c>
      <c r="M66" s="86">
        <f>VLOOKUP($B66,dados!$D$4:$U$272,12,FALSE)</f>
        <v>107.29386</v>
      </c>
      <c r="N66" s="86">
        <f>VLOOKUP($B66,dados!$D$4:$U$272,13,FALSE)</f>
        <v>84.150999999999996</v>
      </c>
      <c r="O66" s="86">
        <f>VLOOKUP($B66,dados!$D$4:$U$272,14,FALSE)</f>
        <v>111.04877</v>
      </c>
      <c r="P66" s="86">
        <f>VLOOKUP($B66,dados!$D$4:$U$272,15,FALSE)</f>
        <v>121.07367000000001</v>
      </c>
      <c r="Q66" s="86">
        <f>VLOOKUP($B66,dados!$D$4:$U$272,16,FALSE)</f>
        <v>90.847999999999999</v>
      </c>
      <c r="R66" s="86">
        <f>VLOOKUP($B66,dados!$D$4:$U$272,17,FALSE)</f>
        <v>33.578960000000002</v>
      </c>
      <c r="S66" s="87">
        <f>VLOOKUP($B66,dados!$D$4:$U$272,18,FALSE)</f>
        <v>95.194720000000004</v>
      </c>
    </row>
    <row r="67" spans="1:19" s="19" customFormat="1" ht="12.75" x14ac:dyDescent="0.2">
      <c r="A67" s="84">
        <f t="shared" si="21"/>
        <v>2021</v>
      </c>
      <c r="B67" s="93">
        <v>44317</v>
      </c>
      <c r="C67" s="86">
        <f>VLOOKUP($B67,dados!$D$4:$U$272,2,FALSE)</f>
        <v>98.648949999999999</v>
      </c>
      <c r="D67" s="86">
        <f>VLOOKUP($B67,dados!$D$4:$U$272,3,FALSE)</f>
        <v>97.705609999999993</v>
      </c>
      <c r="E67" s="86">
        <f>VLOOKUP($B67,dados!$D$4:$U$272,4,FALSE)</f>
        <v>98.484989999999996</v>
      </c>
      <c r="F67" s="86">
        <f>VLOOKUP($B67,dados!$D$4:$U$272,5,FALSE)</f>
        <v>97.233770000000007</v>
      </c>
      <c r="G67" s="86">
        <f>VLOOKUP($B67,dados!$D$4:$U$272,6,FALSE)</f>
        <v>97.442880000000002</v>
      </c>
      <c r="H67" s="86">
        <f>VLOOKUP($B67,dados!$D$4:$U$272,7,FALSE)</f>
        <v>107.7812</v>
      </c>
      <c r="I67" s="86" t="str">
        <f>VLOOKUP($B67,dados!$D$4:$U$272,8,FALSE)</f>
        <v>-</v>
      </c>
      <c r="J67" s="86">
        <f>VLOOKUP($B67,dados!$D$4:$U$272,9,FALSE)</f>
        <v>89.337159999999997</v>
      </c>
      <c r="K67" s="86">
        <f>VLOOKUP($B67,dados!$D$4:$U$272,10,FALSE)</f>
        <v>87.151759999999996</v>
      </c>
      <c r="L67" s="86">
        <f>VLOOKUP($B67,dados!$D$4:$U$272,11,FALSE)</f>
        <v>78.947029999999998</v>
      </c>
      <c r="M67" s="86">
        <f>VLOOKUP($B67,dados!$D$4:$U$272,12,FALSE)</f>
        <v>109.42026</v>
      </c>
      <c r="N67" s="86">
        <f>VLOOKUP($B67,dados!$D$4:$U$272,13,FALSE)</f>
        <v>93.541470000000004</v>
      </c>
      <c r="O67" s="86">
        <f>VLOOKUP($B67,dados!$D$4:$U$272,14,FALSE)</f>
        <v>117.17376</v>
      </c>
      <c r="P67" s="86">
        <f>VLOOKUP($B67,dados!$D$4:$U$272,15,FALSE)</f>
        <v>136.316</v>
      </c>
      <c r="Q67" s="86">
        <f>VLOOKUP($B67,dados!$D$4:$U$272,16,FALSE)</f>
        <v>101.32044999999999</v>
      </c>
      <c r="R67" s="86">
        <f>VLOOKUP($B67,dados!$D$4:$U$272,17,FALSE)</f>
        <v>42.336970000000001</v>
      </c>
      <c r="S67" s="87">
        <f>VLOOKUP($B67,dados!$D$4:$U$272,18,FALSE)</f>
        <v>97.995469999999997</v>
      </c>
    </row>
    <row r="68" spans="1:19" s="19" customFormat="1" ht="12.75" x14ac:dyDescent="0.2">
      <c r="A68" s="84">
        <f t="shared" si="21"/>
        <v>2021</v>
      </c>
      <c r="B68" s="93">
        <v>44348</v>
      </c>
      <c r="C68" s="86">
        <f>VLOOKUP($B68,dados!$D$4:$U$272,2,FALSE)</f>
        <v>98.872039999999998</v>
      </c>
      <c r="D68" s="86">
        <f>VLOOKUP($B68,dados!$D$4:$U$272,3,FALSE)</f>
        <v>96.811449999999994</v>
      </c>
      <c r="E68" s="86">
        <f>VLOOKUP($B68,dados!$D$4:$U$272,4,FALSE)</f>
        <v>95.915769999999995</v>
      </c>
      <c r="F68" s="86">
        <f>VLOOKUP($B68,dados!$D$4:$U$272,5,FALSE)</f>
        <v>97.35369</v>
      </c>
      <c r="G68" s="86">
        <f>VLOOKUP($B68,dados!$D$4:$U$272,6,FALSE)</f>
        <v>70.510369999999995</v>
      </c>
      <c r="H68" s="86">
        <f>VLOOKUP($B68,dados!$D$4:$U$272,7,FALSE)</f>
        <v>102.44618</v>
      </c>
      <c r="I68" s="86" t="str">
        <f>VLOOKUP($B68,dados!$D$4:$U$272,8,FALSE)</f>
        <v>-</v>
      </c>
      <c r="J68" s="86">
        <f>VLOOKUP($B68,dados!$D$4:$U$272,9,FALSE)</f>
        <v>90.900599999999997</v>
      </c>
      <c r="K68" s="86">
        <f>VLOOKUP($B68,dados!$D$4:$U$272,10,FALSE)</f>
        <v>98.375069999999994</v>
      </c>
      <c r="L68" s="86">
        <f>VLOOKUP($B68,dados!$D$4:$U$272,11,FALSE)</f>
        <v>67.998289999999997</v>
      </c>
      <c r="M68" s="86">
        <f>VLOOKUP($B68,dados!$D$4:$U$272,12,FALSE)</f>
        <v>110.08196</v>
      </c>
      <c r="N68" s="86">
        <f>VLOOKUP($B68,dados!$D$4:$U$272,13,FALSE)</f>
        <v>90.19426</v>
      </c>
      <c r="O68" s="86">
        <f>VLOOKUP($B68,dados!$D$4:$U$272,14,FALSE)</f>
        <v>125.89481000000001</v>
      </c>
      <c r="P68" s="86">
        <f>VLOOKUP($B68,dados!$D$4:$U$272,15,FALSE)</f>
        <v>130.54452000000001</v>
      </c>
      <c r="Q68" s="86">
        <f>VLOOKUP($B68,dados!$D$4:$U$272,16,FALSE)</f>
        <v>105.7441</v>
      </c>
      <c r="R68" s="86">
        <f>VLOOKUP($B68,dados!$D$4:$U$272,17,FALSE)</f>
        <v>46.798270000000002</v>
      </c>
      <c r="S68" s="87">
        <f>VLOOKUP($B68,dados!$D$4:$U$272,18,FALSE)</f>
        <v>94.578800000000001</v>
      </c>
    </row>
    <row r="69" spans="1:19" s="19" customFormat="1" ht="12.75" x14ac:dyDescent="0.2">
      <c r="A69" s="84">
        <f t="shared" si="21"/>
        <v>2021</v>
      </c>
      <c r="B69" s="93">
        <v>44378</v>
      </c>
      <c r="C69" s="86">
        <f>VLOOKUP($B69,dados!$D$4:$U$272,2,FALSE)</f>
        <v>95.754379999999998</v>
      </c>
      <c r="D69" s="86">
        <f>VLOOKUP($B69,dados!$D$4:$U$272,3,FALSE)</f>
        <v>99.927459999999996</v>
      </c>
      <c r="E69" s="86">
        <f>VLOOKUP($B69,dados!$D$4:$U$272,4,FALSE)</f>
        <v>103.03610999999999</v>
      </c>
      <c r="F69" s="86">
        <f>VLOOKUP($B69,dados!$D$4:$U$272,5,FALSE)</f>
        <v>98.045490000000001</v>
      </c>
      <c r="G69" s="86">
        <f>VLOOKUP($B69,dados!$D$4:$U$272,6,FALSE)</f>
        <v>75.870400000000004</v>
      </c>
      <c r="H69" s="86">
        <f>VLOOKUP($B69,dados!$D$4:$U$272,7,FALSE)</f>
        <v>103.23033</v>
      </c>
      <c r="I69" s="86" t="str">
        <f>VLOOKUP($B69,dados!$D$4:$U$272,8,FALSE)</f>
        <v>-</v>
      </c>
      <c r="J69" s="86">
        <f>VLOOKUP($B69,dados!$D$4:$U$272,9,FALSE)</f>
        <v>87.476650000000006</v>
      </c>
      <c r="K69" s="86">
        <f>VLOOKUP($B69,dados!$D$4:$U$272,10,FALSE)</f>
        <v>110.18389000000001</v>
      </c>
      <c r="L69" s="86">
        <f>VLOOKUP($B69,dados!$D$4:$U$272,11,FALSE)</f>
        <v>76.918040000000005</v>
      </c>
      <c r="M69" s="86">
        <f>VLOOKUP($B69,dados!$D$4:$U$272,12,FALSE)</f>
        <v>110.86359</v>
      </c>
      <c r="N69" s="86">
        <f>VLOOKUP($B69,dados!$D$4:$U$272,13,FALSE)</f>
        <v>90.798940000000002</v>
      </c>
      <c r="O69" s="86">
        <f>VLOOKUP($B69,dados!$D$4:$U$272,14,FALSE)</f>
        <v>122.93486</v>
      </c>
      <c r="P69" s="86">
        <f>VLOOKUP($B69,dados!$D$4:$U$272,15,FALSE)</f>
        <v>125.96127</v>
      </c>
      <c r="Q69" s="86">
        <f>VLOOKUP($B69,dados!$D$4:$U$272,16,FALSE)</f>
        <v>114.45853</v>
      </c>
      <c r="R69" s="86">
        <f>VLOOKUP($B69,dados!$D$4:$U$272,17,FALSE)</f>
        <v>45.760739999999998</v>
      </c>
      <c r="S69" s="87">
        <f>VLOOKUP($B69,dados!$D$4:$U$272,18,FALSE)</f>
        <v>98.112359999999995</v>
      </c>
    </row>
    <row r="70" spans="1:19" s="19" customFormat="1" ht="12.75" x14ac:dyDescent="0.2">
      <c r="A70" s="84">
        <f t="shared" si="21"/>
        <v>2021</v>
      </c>
      <c r="B70" s="93">
        <v>44409</v>
      </c>
      <c r="C70" s="86">
        <f>VLOOKUP($B70,dados!$D$4:$U$272,2,FALSE)</f>
        <v>95.481710000000007</v>
      </c>
      <c r="D70" s="86">
        <f>VLOOKUP($B70,dados!$D$4:$U$272,3,FALSE)</f>
        <v>99.919340000000005</v>
      </c>
      <c r="E70" s="86">
        <f>VLOOKUP($B70,dados!$D$4:$U$272,4,FALSE)</f>
        <v>102.21232999999999</v>
      </c>
      <c r="F70" s="86">
        <f>VLOOKUP($B70,dados!$D$4:$U$272,5,FALSE)</f>
        <v>98.531180000000006</v>
      </c>
      <c r="G70" s="86">
        <f>VLOOKUP($B70,dados!$D$4:$U$272,6,FALSE)</f>
        <v>103.82893</v>
      </c>
      <c r="H70" s="86">
        <f>VLOOKUP($B70,dados!$D$4:$U$272,7,FALSE)</f>
        <v>102.37947</v>
      </c>
      <c r="I70" s="86" t="str">
        <f>VLOOKUP($B70,dados!$D$4:$U$272,8,FALSE)</f>
        <v>-</v>
      </c>
      <c r="J70" s="86">
        <f>VLOOKUP($B70,dados!$D$4:$U$272,9,FALSE)</f>
        <v>87.556449999999998</v>
      </c>
      <c r="K70" s="86">
        <f>VLOOKUP($B70,dados!$D$4:$U$272,10,FALSE)</f>
        <v>112.55222999999999</v>
      </c>
      <c r="L70" s="86">
        <f>VLOOKUP($B70,dados!$D$4:$U$272,11,FALSE)</f>
        <v>93.752170000000007</v>
      </c>
      <c r="M70" s="86">
        <f>VLOOKUP($B70,dados!$D$4:$U$272,12,FALSE)</f>
        <v>106.61047000000001</v>
      </c>
      <c r="N70" s="86">
        <f>VLOOKUP($B70,dados!$D$4:$U$272,13,FALSE)</f>
        <v>89.718519999999998</v>
      </c>
      <c r="O70" s="86">
        <f>VLOOKUP($B70,dados!$D$4:$U$272,14,FALSE)</f>
        <v>129.01273</v>
      </c>
      <c r="P70" s="86">
        <f>VLOOKUP($B70,dados!$D$4:$U$272,15,FALSE)</f>
        <v>94.396550000000005</v>
      </c>
      <c r="Q70" s="86">
        <f>VLOOKUP($B70,dados!$D$4:$U$272,16,FALSE)</f>
        <v>104.99509999999999</v>
      </c>
      <c r="R70" s="86">
        <f>VLOOKUP($B70,dados!$D$4:$U$272,17,FALSE)</f>
        <v>43.290840000000003</v>
      </c>
      <c r="S70" s="87">
        <f>VLOOKUP($B70,dados!$D$4:$U$272,18,FALSE)</f>
        <v>95.744820000000004</v>
      </c>
    </row>
    <row r="71" spans="1:19" s="19" customFormat="1" ht="12.75" x14ac:dyDescent="0.2">
      <c r="A71" s="84">
        <f t="shared" si="21"/>
        <v>2021</v>
      </c>
      <c r="B71" s="93">
        <v>44440</v>
      </c>
      <c r="C71" s="86">
        <f>VLOOKUP($B71,dados!$D$4:$U$272,2,FALSE)</f>
        <v>97.148340000000005</v>
      </c>
      <c r="D71" s="86">
        <f>VLOOKUP($B71,dados!$D$4:$U$272,3,FALSE)</f>
        <v>99.13852</v>
      </c>
      <c r="E71" s="86">
        <f>VLOOKUP($B71,dados!$D$4:$U$272,4,FALSE)</f>
        <v>98.608350000000002</v>
      </c>
      <c r="F71" s="86">
        <f>VLOOKUP($B71,dados!$D$4:$U$272,5,FALSE)</f>
        <v>99.459479999999999</v>
      </c>
      <c r="G71" s="86">
        <f>VLOOKUP($B71,dados!$D$4:$U$272,6,FALSE)</f>
        <v>112.86554</v>
      </c>
      <c r="H71" s="86">
        <f>VLOOKUP($B71,dados!$D$4:$U$272,7,FALSE)</f>
        <v>109.64422999999999</v>
      </c>
      <c r="I71" s="86" t="str">
        <f>VLOOKUP($B71,dados!$D$4:$U$272,8,FALSE)</f>
        <v>-</v>
      </c>
      <c r="J71" s="86">
        <f>VLOOKUP($B71,dados!$D$4:$U$272,9,FALSE)</f>
        <v>96.319640000000007</v>
      </c>
      <c r="K71" s="86">
        <f>VLOOKUP($B71,dados!$D$4:$U$272,10,FALSE)</f>
        <v>108.35368</v>
      </c>
      <c r="L71" s="86">
        <f>VLOOKUP($B71,dados!$D$4:$U$272,11,FALSE)</f>
        <v>86.23751</v>
      </c>
      <c r="M71" s="86">
        <f>VLOOKUP($B71,dados!$D$4:$U$272,12,FALSE)</f>
        <v>103.40058000000001</v>
      </c>
      <c r="N71" s="86">
        <f>VLOOKUP($B71,dados!$D$4:$U$272,13,FALSE)</f>
        <v>99.149389999999997</v>
      </c>
      <c r="O71" s="86">
        <f>VLOOKUP($B71,dados!$D$4:$U$272,14,FALSE)</f>
        <v>117.59652</v>
      </c>
      <c r="P71" s="86">
        <f>VLOOKUP($B71,dados!$D$4:$U$272,15,FALSE)</f>
        <v>95.466189999999997</v>
      </c>
      <c r="Q71" s="86">
        <f>VLOOKUP($B71,dados!$D$4:$U$272,16,FALSE)</f>
        <v>89.829239999999999</v>
      </c>
      <c r="R71" s="86">
        <f>VLOOKUP($B71,dados!$D$4:$U$272,17,FALSE)</f>
        <v>41.025469999999999</v>
      </c>
      <c r="S71" s="87">
        <f>VLOOKUP($B71,dados!$D$4:$U$272,18,FALSE)</f>
        <v>99.578720000000004</v>
      </c>
    </row>
    <row r="72" spans="1:19" s="19" customFormat="1" ht="12.75" x14ac:dyDescent="0.2">
      <c r="A72" s="84">
        <f t="shared" si="21"/>
        <v>2021</v>
      </c>
      <c r="B72" s="93">
        <v>44470</v>
      </c>
      <c r="C72" s="86">
        <f>VLOOKUP($B72,dados!$D$4:$U$272,2,FALSE)</f>
        <v>96.137590000000003</v>
      </c>
      <c r="D72" s="86">
        <f>VLOOKUP($B72,dados!$D$4:$U$272,3,FALSE)</f>
        <v>101.55944</v>
      </c>
      <c r="E72" s="86">
        <f>VLOOKUP($B72,dados!$D$4:$U$272,4,FALSE)</f>
        <v>93.667580000000001</v>
      </c>
      <c r="F72" s="86">
        <f>VLOOKUP($B72,dados!$D$4:$U$272,5,FALSE)</f>
        <v>106.33713</v>
      </c>
      <c r="G72" s="86">
        <f>VLOOKUP($B72,dados!$D$4:$U$272,6,FALSE)</f>
        <v>118.5869</v>
      </c>
      <c r="H72" s="86">
        <f>VLOOKUP($B72,dados!$D$4:$U$272,7,FALSE)</f>
        <v>122.31625</v>
      </c>
      <c r="I72" s="86" t="str">
        <f>VLOOKUP($B72,dados!$D$4:$U$272,8,FALSE)</f>
        <v>-</v>
      </c>
      <c r="J72" s="86">
        <f>VLOOKUP($B72,dados!$D$4:$U$272,9,FALSE)</f>
        <v>104.27087</v>
      </c>
      <c r="K72" s="86">
        <f>VLOOKUP($B72,dados!$D$4:$U$272,10,FALSE)</f>
        <v>116.18713</v>
      </c>
      <c r="L72" s="86">
        <f>VLOOKUP($B72,dados!$D$4:$U$272,11,FALSE)</f>
        <v>101.48554</v>
      </c>
      <c r="M72" s="86">
        <f>VLOOKUP($B72,dados!$D$4:$U$272,12,FALSE)</f>
        <v>105.46420000000001</v>
      </c>
      <c r="N72" s="86">
        <f>VLOOKUP($B72,dados!$D$4:$U$272,13,FALSE)</f>
        <v>97.729169999999996</v>
      </c>
      <c r="O72" s="86">
        <f>VLOOKUP($B72,dados!$D$4:$U$272,14,FALSE)</f>
        <v>116.86074000000001</v>
      </c>
      <c r="P72" s="86">
        <f>VLOOKUP($B72,dados!$D$4:$U$272,15,FALSE)</f>
        <v>98.374319999999997</v>
      </c>
      <c r="Q72" s="86">
        <f>VLOOKUP($B72,dados!$D$4:$U$272,16,FALSE)</f>
        <v>101.07107000000001</v>
      </c>
      <c r="R72" s="86">
        <f>VLOOKUP($B72,dados!$D$4:$U$272,17,FALSE)</f>
        <v>59.730220000000003</v>
      </c>
      <c r="S72" s="87">
        <f>VLOOKUP($B72,dados!$D$4:$U$272,18,FALSE)</f>
        <v>101.85169999999999</v>
      </c>
    </row>
    <row r="73" spans="1:19" s="19" customFormat="1" ht="12.75" x14ac:dyDescent="0.2">
      <c r="A73" s="84">
        <f t="shared" si="21"/>
        <v>2021</v>
      </c>
      <c r="B73" s="93">
        <v>44501</v>
      </c>
      <c r="C73" s="86">
        <f>VLOOKUP($B73,dados!$D$4:$U$272,2,FALSE)</f>
        <v>95.044700000000006</v>
      </c>
      <c r="D73" s="86">
        <f>VLOOKUP($B73,dados!$D$4:$U$272,3,FALSE)</f>
        <v>95.890039999999999</v>
      </c>
      <c r="E73" s="86">
        <f>VLOOKUP($B73,dados!$D$4:$U$272,4,FALSE)</f>
        <v>95.143929999999997</v>
      </c>
      <c r="F73" s="86">
        <f>VLOOKUP($B73,dados!$D$4:$U$272,5,FALSE)</f>
        <v>96.341740000000001</v>
      </c>
      <c r="G73" s="86">
        <f>VLOOKUP($B73,dados!$D$4:$U$272,6,FALSE)</f>
        <v>116.63964</v>
      </c>
      <c r="H73" s="86">
        <f>VLOOKUP($B73,dados!$D$4:$U$272,7,FALSE)</f>
        <v>104.66349</v>
      </c>
      <c r="I73" s="86" t="str">
        <f>VLOOKUP($B73,dados!$D$4:$U$272,8,FALSE)</f>
        <v>-</v>
      </c>
      <c r="J73" s="86">
        <f>VLOOKUP($B73,dados!$D$4:$U$272,9,FALSE)</f>
        <v>96.855630000000005</v>
      </c>
      <c r="K73" s="86">
        <f>VLOOKUP($B73,dados!$D$4:$U$272,10,FALSE)</f>
        <v>109.64097</v>
      </c>
      <c r="L73" s="86">
        <f>VLOOKUP($B73,dados!$D$4:$U$272,11,FALSE)</f>
        <v>80.901030000000006</v>
      </c>
      <c r="M73" s="86">
        <f>VLOOKUP($B73,dados!$D$4:$U$272,12,FALSE)</f>
        <v>101.01215999999999</v>
      </c>
      <c r="N73" s="86">
        <f>VLOOKUP($B73,dados!$D$4:$U$272,13,FALSE)</f>
        <v>91.737219999999994</v>
      </c>
      <c r="O73" s="86">
        <f>VLOOKUP($B73,dados!$D$4:$U$272,14,FALSE)</f>
        <v>92.462530000000001</v>
      </c>
      <c r="P73" s="86">
        <f>VLOOKUP($B73,dados!$D$4:$U$272,15,FALSE)</f>
        <v>93.770070000000004</v>
      </c>
      <c r="Q73" s="86">
        <f>VLOOKUP($B73,dados!$D$4:$U$272,16,FALSE)</f>
        <v>90.228809999999996</v>
      </c>
      <c r="R73" s="86">
        <f>VLOOKUP($B73,dados!$D$4:$U$272,17,FALSE)</f>
        <v>64.119370000000004</v>
      </c>
      <c r="S73" s="87">
        <f>VLOOKUP($B73,dados!$D$4:$U$272,18,FALSE)</f>
        <v>101.20527</v>
      </c>
    </row>
    <row r="74" spans="1:19" s="19" customFormat="1" ht="12.75" x14ac:dyDescent="0.2">
      <c r="A74" s="84">
        <f t="shared" si="21"/>
        <v>2021</v>
      </c>
      <c r="B74" s="93">
        <v>44531</v>
      </c>
      <c r="C74" s="86">
        <f>VLOOKUP($B74,dados!$D$4:$U$272,2,FALSE)</f>
        <v>97.595879999999994</v>
      </c>
      <c r="D74" s="86">
        <f>VLOOKUP($B74,dados!$D$4:$U$272,3,FALSE)</f>
        <v>97.439719999999994</v>
      </c>
      <c r="E74" s="86">
        <f>VLOOKUP($B74,dados!$D$4:$U$272,4,FALSE)</f>
        <v>96.657830000000004</v>
      </c>
      <c r="F74" s="86">
        <f>VLOOKUP($B74,dados!$D$4:$U$272,5,FALSE)</f>
        <v>97.913070000000005</v>
      </c>
      <c r="G74" s="86">
        <f>VLOOKUP($B74,dados!$D$4:$U$272,6,FALSE)</f>
        <v>94.437830000000005</v>
      </c>
      <c r="H74" s="86">
        <f>VLOOKUP($B74,dados!$D$4:$U$272,7,FALSE)</f>
        <v>116.85021</v>
      </c>
      <c r="I74" s="86" t="str">
        <f>VLOOKUP($B74,dados!$D$4:$U$272,8,FALSE)</f>
        <v>-</v>
      </c>
      <c r="J74" s="86">
        <f>VLOOKUP($B74,dados!$D$4:$U$272,9,FALSE)</f>
        <v>107.17346999999999</v>
      </c>
      <c r="K74" s="86">
        <f>VLOOKUP($B74,dados!$D$4:$U$272,10,FALSE)</f>
        <v>94.875</v>
      </c>
      <c r="L74" s="86">
        <f>VLOOKUP($B74,dados!$D$4:$U$272,11,FALSE)</f>
        <v>69.020319999999998</v>
      </c>
      <c r="M74" s="86">
        <f>VLOOKUP($B74,dados!$D$4:$U$272,12,FALSE)</f>
        <v>84.541989999999998</v>
      </c>
      <c r="N74" s="86">
        <f>VLOOKUP($B74,dados!$D$4:$U$272,13,FALSE)</f>
        <v>88.104219999999998</v>
      </c>
      <c r="O74" s="86">
        <f>VLOOKUP($B74,dados!$D$4:$U$272,14,FALSE)</f>
        <v>96.008409999999998</v>
      </c>
      <c r="P74" s="86">
        <f>VLOOKUP($B74,dados!$D$4:$U$272,15,FALSE)</f>
        <v>105.36605</v>
      </c>
      <c r="Q74" s="86">
        <f>VLOOKUP($B74,dados!$D$4:$U$272,16,FALSE)</f>
        <v>78.909329999999997</v>
      </c>
      <c r="R74" s="86">
        <f>VLOOKUP($B74,dados!$D$4:$U$272,17,FALSE)</f>
        <v>62.870199999999997</v>
      </c>
      <c r="S74" s="87">
        <f>VLOOKUP($B74,dados!$D$4:$U$272,18,FALSE)</f>
        <v>115.76124</v>
      </c>
    </row>
    <row r="75" spans="1:19" s="19" customFormat="1" ht="12.75" x14ac:dyDescent="0.2">
      <c r="A75" s="84"/>
      <c r="B75" s="93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7"/>
    </row>
    <row r="76" spans="1:19" s="19" customFormat="1" ht="12.75" x14ac:dyDescent="0.2">
      <c r="A76" s="92">
        <f>A77</f>
        <v>2022</v>
      </c>
      <c r="B76" s="89" t="s">
        <v>6</v>
      </c>
      <c r="C76" s="90">
        <f>SUM(C77:C88)</f>
        <v>1199.7910899999999</v>
      </c>
      <c r="D76" s="90">
        <f>SUM(D77:D88)</f>
        <v>1200.0000000000002</v>
      </c>
      <c r="E76" s="90">
        <f>SUM(E77:E88)</f>
        <v>1199.99999</v>
      </c>
      <c r="F76" s="90">
        <f t="shared" ref="F76:S76" si="22">SUM(F77:F88)</f>
        <v>1200.0000199999999</v>
      </c>
      <c r="G76" s="90">
        <f t="shared" si="22"/>
        <v>1200</v>
      </c>
      <c r="H76" s="90">
        <f t="shared" si="22"/>
        <v>1200.00001</v>
      </c>
      <c r="I76" s="90">
        <f t="shared" si="22"/>
        <v>0</v>
      </c>
      <c r="J76" s="90">
        <f t="shared" si="22"/>
        <v>1200</v>
      </c>
      <c r="K76" s="90">
        <f t="shared" si="22"/>
        <v>1199.9999800000001</v>
      </c>
      <c r="L76" s="90">
        <f t="shared" si="22"/>
        <v>1200</v>
      </c>
      <c r="M76" s="90">
        <f t="shared" si="22"/>
        <v>1200</v>
      </c>
      <c r="N76" s="90">
        <f t="shared" si="22"/>
        <v>1199.99972</v>
      </c>
      <c r="O76" s="90">
        <f t="shared" si="22"/>
        <v>1199.99999</v>
      </c>
      <c r="P76" s="90">
        <f t="shared" si="22"/>
        <v>1199.9999799999998</v>
      </c>
      <c r="Q76" s="90">
        <f t="shared" si="22"/>
        <v>1199.99999</v>
      </c>
      <c r="R76" s="90">
        <f t="shared" si="22"/>
        <v>1200.00001</v>
      </c>
      <c r="S76" s="91">
        <f t="shared" si="22"/>
        <v>1200.0002900000002</v>
      </c>
    </row>
    <row r="77" spans="1:19" s="19" customFormat="1" ht="12.75" x14ac:dyDescent="0.2">
      <c r="A77" s="84">
        <f>YEAR(B77)</f>
        <v>2022</v>
      </c>
      <c r="B77" s="93">
        <v>44562</v>
      </c>
      <c r="C77" s="86">
        <f>VLOOKUP($B77,dados!$D$4:$U$272,2,FALSE)</f>
        <v>96.995800000000003</v>
      </c>
      <c r="D77" s="86">
        <f>VLOOKUP($B77,dados!$D$4:$U$272,3,FALSE)</f>
        <v>97.700919999999996</v>
      </c>
      <c r="E77" s="86">
        <f>VLOOKUP($B77,dados!$D$4:$U$272,4,FALSE)</f>
        <v>102.38742000000001</v>
      </c>
      <c r="F77" s="86">
        <f>VLOOKUP($B77,dados!$D$4:$U$272,5,FALSE)</f>
        <v>92.614739999999998</v>
      </c>
      <c r="G77" s="86">
        <f>VLOOKUP($B77,dados!$D$4:$U$272,6,FALSE)</f>
        <v>102.96514000000001</v>
      </c>
      <c r="H77" s="86">
        <f>VLOOKUP($B77,dados!$D$4:$U$272,7,FALSE)</f>
        <v>107.48877</v>
      </c>
      <c r="I77" s="86" t="str">
        <f>VLOOKUP($B77,dados!$D$4:$U$272,8,FALSE)</f>
        <v>-</v>
      </c>
      <c r="J77" s="86">
        <f>VLOOKUP($B77,dados!$D$4:$U$272,9,FALSE)</f>
        <v>91.454419999999999</v>
      </c>
      <c r="K77" s="86">
        <f>VLOOKUP($B77,dados!$D$4:$U$272,10,FALSE)</f>
        <v>104.8411</v>
      </c>
      <c r="L77" s="86">
        <f>VLOOKUP($B77,dados!$D$4:$U$272,11,FALSE)</f>
        <v>37.576610000000002</v>
      </c>
      <c r="M77" s="86">
        <f>VLOOKUP($B77,dados!$D$4:$U$272,12,FALSE)</f>
        <v>100.96261</v>
      </c>
      <c r="N77" s="86">
        <f>VLOOKUP($B77,dados!$D$4:$U$272,13,FALSE)</f>
        <v>101.39698</v>
      </c>
      <c r="O77" s="86">
        <f>VLOOKUP($B77,dados!$D$4:$U$272,14,FALSE)</f>
        <v>91.333370000000002</v>
      </c>
      <c r="P77" s="86">
        <f>VLOOKUP($B77,dados!$D$4:$U$272,15,FALSE)</f>
        <v>123.24924</v>
      </c>
      <c r="Q77" s="86">
        <f>VLOOKUP($B77,dados!$D$4:$U$272,16,FALSE)</f>
        <v>69.107609999999994</v>
      </c>
      <c r="R77" s="86">
        <f>VLOOKUP($B77,dados!$D$4:$U$272,17,FALSE)</f>
        <v>62.00647</v>
      </c>
      <c r="S77" s="87">
        <f>VLOOKUP($B77,dados!$D$4:$U$272,18,FALSE)</f>
        <v>94.919169999999994</v>
      </c>
    </row>
    <row r="78" spans="1:19" s="19" customFormat="1" ht="12.75" x14ac:dyDescent="0.2">
      <c r="A78" s="84">
        <f t="shared" ref="A78:A88" si="23">YEAR(B78)</f>
        <v>2022</v>
      </c>
      <c r="B78" s="93">
        <v>44593</v>
      </c>
      <c r="C78" s="86">
        <f>VLOOKUP($B78,dados!$D$4:$U$272,2,FALSE)</f>
        <v>95.404499999999999</v>
      </c>
      <c r="D78" s="86">
        <f>VLOOKUP($B78,dados!$D$4:$U$272,3,FALSE)</f>
        <v>87.831059999999994</v>
      </c>
      <c r="E78" s="86">
        <f>VLOOKUP($B78,dados!$D$4:$U$272,4,FALSE)</f>
        <v>89.432469999999995</v>
      </c>
      <c r="F78" s="86">
        <f>VLOOKUP($B78,dados!$D$4:$U$272,5,FALSE)</f>
        <v>86.093069999999997</v>
      </c>
      <c r="G78" s="86">
        <f>VLOOKUP($B78,dados!$D$4:$U$272,6,FALSE)</f>
        <v>97.107479999999995</v>
      </c>
      <c r="H78" s="86">
        <f>VLOOKUP($B78,dados!$D$4:$U$272,7,FALSE)</f>
        <v>93.307119999999998</v>
      </c>
      <c r="I78" s="86" t="str">
        <f>VLOOKUP($B78,dados!$D$4:$U$272,8,FALSE)</f>
        <v>-</v>
      </c>
      <c r="J78" s="86">
        <f>VLOOKUP($B78,dados!$D$4:$U$272,9,FALSE)</f>
        <v>71.341579999999993</v>
      </c>
      <c r="K78" s="86">
        <f>VLOOKUP($B78,dados!$D$4:$U$272,10,FALSE)</f>
        <v>82.790430000000001</v>
      </c>
      <c r="L78" s="86">
        <f>VLOOKUP($B78,dados!$D$4:$U$272,11,FALSE)</f>
        <v>80.855879999999999</v>
      </c>
      <c r="M78" s="86">
        <f>VLOOKUP($B78,dados!$D$4:$U$272,12,FALSE)</f>
        <v>99.688990000000004</v>
      </c>
      <c r="N78" s="86">
        <f>VLOOKUP($B78,dados!$D$4:$U$272,13,FALSE)</f>
        <v>92.940439999999995</v>
      </c>
      <c r="O78" s="86">
        <f>VLOOKUP($B78,dados!$D$4:$U$272,14,FALSE)</f>
        <v>103.99041</v>
      </c>
      <c r="P78" s="86">
        <f>VLOOKUP($B78,dados!$D$4:$U$272,15,FALSE)</f>
        <v>104.47601</v>
      </c>
      <c r="Q78" s="86">
        <f>VLOOKUP($B78,dados!$D$4:$U$272,16,FALSE)</f>
        <v>89.793989999999994</v>
      </c>
      <c r="R78" s="86">
        <f>VLOOKUP($B78,dados!$D$4:$U$272,17,FALSE)</f>
        <v>55.451920000000001</v>
      </c>
      <c r="S78" s="87">
        <f>VLOOKUP($B78,dados!$D$4:$U$272,18,FALSE)</f>
        <v>89.509169999999997</v>
      </c>
    </row>
    <row r="79" spans="1:19" s="19" customFormat="1" ht="12.75" x14ac:dyDescent="0.2">
      <c r="A79" s="84">
        <f t="shared" si="23"/>
        <v>2022</v>
      </c>
      <c r="B79" s="93">
        <v>44621</v>
      </c>
      <c r="C79" s="86">
        <f>VLOOKUP($B79,dados!$D$4:$U$272,2,FALSE)</f>
        <v>98.733350000000002</v>
      </c>
      <c r="D79" s="86">
        <f>VLOOKUP($B79,dados!$D$4:$U$272,3,FALSE)</f>
        <v>96.853149999999999</v>
      </c>
      <c r="E79" s="86">
        <f>VLOOKUP($B79,dados!$D$4:$U$272,4,FALSE)</f>
        <v>103.01244</v>
      </c>
      <c r="F79" s="86">
        <f>VLOOKUP($B79,dados!$D$4:$U$272,5,FALSE)</f>
        <v>90.168580000000006</v>
      </c>
      <c r="G79" s="86">
        <f>VLOOKUP($B79,dados!$D$4:$U$272,6,FALSE)</f>
        <v>106.28268</v>
      </c>
      <c r="H79" s="86">
        <f>VLOOKUP($B79,dados!$D$4:$U$272,7,FALSE)</f>
        <v>107.08844000000001</v>
      </c>
      <c r="I79" s="86" t="str">
        <f>VLOOKUP($B79,dados!$D$4:$U$272,8,FALSE)</f>
        <v>-</v>
      </c>
      <c r="J79" s="86">
        <f>VLOOKUP($B79,dados!$D$4:$U$272,9,FALSE)</f>
        <v>73.722340000000003</v>
      </c>
      <c r="K79" s="86">
        <f>VLOOKUP($B79,dados!$D$4:$U$272,10,FALSE)</f>
        <v>89.932540000000003</v>
      </c>
      <c r="L79" s="86">
        <f>VLOOKUP($B79,dados!$D$4:$U$272,11,FALSE)</f>
        <v>58.9788</v>
      </c>
      <c r="M79" s="86">
        <f>VLOOKUP($B79,dados!$D$4:$U$272,12,FALSE)</f>
        <v>98.557609999999997</v>
      </c>
      <c r="N79" s="86">
        <f>VLOOKUP($B79,dados!$D$4:$U$272,13,FALSE)</f>
        <v>102.88085</v>
      </c>
      <c r="O79" s="86">
        <f>VLOOKUP($B79,dados!$D$4:$U$272,14,FALSE)</f>
        <v>96.45138</v>
      </c>
      <c r="P79" s="86">
        <f>VLOOKUP($B79,dados!$D$4:$U$272,15,FALSE)</f>
        <v>105.98873</v>
      </c>
      <c r="Q79" s="86">
        <f>VLOOKUP($B79,dados!$D$4:$U$272,16,FALSE)</f>
        <v>103.22568</v>
      </c>
      <c r="R79" s="86">
        <f>VLOOKUP($B79,dados!$D$4:$U$272,17,FALSE)</f>
        <v>60.808950000000003</v>
      </c>
      <c r="S79" s="87">
        <f>VLOOKUP($B79,dados!$D$4:$U$272,18,FALSE)</f>
        <v>101.82903</v>
      </c>
    </row>
    <row r="80" spans="1:19" s="19" customFormat="1" ht="12.75" x14ac:dyDescent="0.2">
      <c r="A80" s="84">
        <f t="shared" si="23"/>
        <v>2022</v>
      </c>
      <c r="B80" s="93">
        <v>44652</v>
      </c>
      <c r="C80" s="86">
        <f>VLOOKUP($B80,dados!$D$4:$U$272,2,FALSE)</f>
        <v>106.04696</v>
      </c>
      <c r="D80" s="86">
        <f>VLOOKUP($B80,dados!$D$4:$U$272,3,FALSE)</f>
        <v>100.98480000000001</v>
      </c>
      <c r="E80" s="86">
        <f>VLOOKUP($B80,dados!$D$4:$U$272,4,FALSE)</f>
        <v>99.160650000000004</v>
      </c>
      <c r="F80" s="86">
        <f>VLOOKUP($B80,dados!$D$4:$U$272,5,FALSE)</f>
        <v>102.96453</v>
      </c>
      <c r="G80" s="86">
        <f>VLOOKUP($B80,dados!$D$4:$U$272,6,FALSE)</f>
        <v>96.402730000000005</v>
      </c>
      <c r="H80" s="86">
        <f>VLOOKUP($B80,dados!$D$4:$U$272,7,FALSE)</f>
        <v>95.221590000000006</v>
      </c>
      <c r="I80" s="86" t="str">
        <f>VLOOKUP($B80,dados!$D$4:$U$272,8,FALSE)</f>
        <v>-</v>
      </c>
      <c r="J80" s="86">
        <f>VLOOKUP($B80,dados!$D$4:$U$272,9,FALSE)</f>
        <v>106.49946</v>
      </c>
      <c r="K80" s="86">
        <f>VLOOKUP($B80,dados!$D$4:$U$272,10,FALSE)</f>
        <v>85.409239999999997</v>
      </c>
      <c r="L80" s="86">
        <f>VLOOKUP($B80,dados!$D$4:$U$272,11,FALSE)</f>
        <v>183.57043999999999</v>
      </c>
      <c r="M80" s="86">
        <f>VLOOKUP($B80,dados!$D$4:$U$272,12,FALSE)</f>
        <v>99.852220000000003</v>
      </c>
      <c r="N80" s="86">
        <f>VLOOKUP($B80,dados!$D$4:$U$272,13,FALSE)</f>
        <v>94.465109999999996</v>
      </c>
      <c r="O80" s="86">
        <f>VLOOKUP($B80,dados!$D$4:$U$272,14,FALSE)</f>
        <v>99.781899999999993</v>
      </c>
      <c r="P80" s="86">
        <f>VLOOKUP($B80,dados!$D$4:$U$272,15,FALSE)</f>
        <v>94.118939999999995</v>
      </c>
      <c r="Q80" s="86">
        <f>VLOOKUP($B80,dados!$D$4:$U$272,16,FALSE)</f>
        <v>95.984889999999993</v>
      </c>
      <c r="R80" s="86">
        <f>VLOOKUP($B80,dados!$D$4:$U$272,17,FALSE)</f>
        <v>60.676569999999998</v>
      </c>
      <c r="S80" s="87">
        <f>VLOOKUP($B80,dados!$D$4:$U$272,18,FALSE)</f>
        <v>100.66669</v>
      </c>
    </row>
    <row r="81" spans="1:19" s="19" customFormat="1" ht="12.75" x14ac:dyDescent="0.2">
      <c r="A81" s="84">
        <f t="shared" si="23"/>
        <v>2022</v>
      </c>
      <c r="B81" s="93">
        <v>44682</v>
      </c>
      <c r="C81" s="86">
        <f>VLOOKUP($B81,dados!$D$4:$U$272,2,FALSE)</f>
        <v>97.057109999999994</v>
      </c>
      <c r="D81" s="86">
        <f>VLOOKUP($B81,dados!$D$4:$U$272,3,FALSE)</f>
        <v>95.987570000000005</v>
      </c>
      <c r="E81" s="86">
        <f>VLOOKUP($B81,dados!$D$4:$U$272,4,FALSE)</f>
        <v>92.498840000000001</v>
      </c>
      <c r="F81" s="86">
        <f>VLOOKUP($B81,dados!$D$4:$U$272,5,FALSE)</f>
        <v>99.773820000000001</v>
      </c>
      <c r="G81" s="86">
        <f>VLOOKUP($B81,dados!$D$4:$U$272,6,FALSE)</f>
        <v>111.61346</v>
      </c>
      <c r="H81" s="86">
        <f>VLOOKUP($B81,dados!$D$4:$U$272,7,FALSE)</f>
        <v>103.06782</v>
      </c>
      <c r="I81" s="86" t="str">
        <f>VLOOKUP($B81,dados!$D$4:$U$272,8,FALSE)</f>
        <v>-</v>
      </c>
      <c r="J81" s="86">
        <f>VLOOKUP($B81,dados!$D$4:$U$272,9,FALSE)</f>
        <v>104.16345</v>
      </c>
      <c r="K81" s="86">
        <f>VLOOKUP($B81,dados!$D$4:$U$272,10,FALSE)</f>
        <v>84.499629999999996</v>
      </c>
      <c r="L81" s="86">
        <f>VLOOKUP($B81,dados!$D$4:$U$272,11,FALSE)</f>
        <v>76.727379999999997</v>
      </c>
      <c r="M81" s="86">
        <f>VLOOKUP($B81,dados!$D$4:$U$272,12,FALSE)</f>
        <v>106.28055999999999</v>
      </c>
      <c r="N81" s="86">
        <f>VLOOKUP($B81,dados!$D$4:$U$272,13,FALSE)</f>
        <v>103.71651</v>
      </c>
      <c r="O81" s="86">
        <f>VLOOKUP($B81,dados!$D$4:$U$272,14,FALSE)</f>
        <v>97.676540000000003</v>
      </c>
      <c r="P81" s="86">
        <f>VLOOKUP($B81,dados!$D$4:$U$272,15,FALSE)</f>
        <v>102.88785</v>
      </c>
      <c r="Q81" s="86">
        <f>VLOOKUP($B81,dados!$D$4:$U$272,16,FALSE)</f>
        <v>109.32541999999999</v>
      </c>
      <c r="R81" s="86">
        <f>VLOOKUP($B81,dados!$D$4:$U$272,17,FALSE)</f>
        <v>92.037210000000002</v>
      </c>
      <c r="S81" s="87">
        <f>VLOOKUP($B81,dados!$D$4:$U$272,18,FALSE)</f>
        <v>100.77221</v>
      </c>
    </row>
    <row r="82" spans="1:19" s="19" customFormat="1" ht="12.75" x14ac:dyDescent="0.2">
      <c r="A82" s="84">
        <f t="shared" si="23"/>
        <v>2022</v>
      </c>
      <c r="B82" s="93">
        <v>44713</v>
      </c>
      <c r="C82" s="86">
        <f>VLOOKUP($B82,dados!$D$4:$U$272,2,FALSE)</f>
        <v>92.992679999999993</v>
      </c>
      <c r="D82" s="86">
        <f>VLOOKUP($B82,dados!$D$4:$U$272,3,FALSE)</f>
        <v>91.076790000000003</v>
      </c>
      <c r="E82" s="86">
        <f>VLOOKUP($B82,dados!$D$4:$U$272,4,FALSE)</f>
        <v>89.057730000000006</v>
      </c>
      <c r="F82" s="86">
        <f>VLOOKUP($B82,dados!$D$4:$U$272,5,FALSE)</f>
        <v>93.268039999999999</v>
      </c>
      <c r="G82" s="86">
        <f>VLOOKUP($B82,dados!$D$4:$U$272,6,FALSE)</f>
        <v>95.821200000000005</v>
      </c>
      <c r="H82" s="86">
        <f>VLOOKUP($B82,dados!$D$4:$U$272,7,FALSE)</f>
        <v>86.628489999999999</v>
      </c>
      <c r="I82" s="86" t="str">
        <f>VLOOKUP($B82,dados!$D$4:$U$272,8,FALSE)</f>
        <v>-</v>
      </c>
      <c r="J82" s="86">
        <f>VLOOKUP($B82,dados!$D$4:$U$272,9,FALSE)</f>
        <v>91.30538</v>
      </c>
      <c r="K82" s="86">
        <f>VLOOKUP($B82,dados!$D$4:$U$272,10,FALSE)</f>
        <v>87.713120000000004</v>
      </c>
      <c r="L82" s="86">
        <f>VLOOKUP($B82,dados!$D$4:$U$272,11,FALSE)</f>
        <v>42.418460000000003</v>
      </c>
      <c r="M82" s="86">
        <f>VLOOKUP($B82,dados!$D$4:$U$272,12,FALSE)</f>
        <v>102.18519999999999</v>
      </c>
      <c r="N82" s="86">
        <f>VLOOKUP($B82,dados!$D$4:$U$272,13,FALSE)</f>
        <v>91.647030000000001</v>
      </c>
      <c r="O82" s="86">
        <f>VLOOKUP($B82,dados!$D$4:$U$272,14,FALSE)</f>
        <v>104.93154</v>
      </c>
      <c r="P82" s="86">
        <f>VLOOKUP($B82,dados!$D$4:$U$272,15,FALSE)</f>
        <v>97.764420000000001</v>
      </c>
      <c r="Q82" s="86">
        <f>VLOOKUP($B82,dados!$D$4:$U$272,16,FALSE)</f>
        <v>104.50976</v>
      </c>
      <c r="R82" s="86">
        <f>VLOOKUP($B82,dados!$D$4:$U$272,17,FALSE)</f>
        <v>98.092759999999998</v>
      </c>
      <c r="S82" s="87">
        <f>VLOOKUP($B82,dados!$D$4:$U$272,18,FALSE)</f>
        <v>102.23018</v>
      </c>
    </row>
    <row r="83" spans="1:19" s="19" customFormat="1" ht="12.75" x14ac:dyDescent="0.2">
      <c r="A83" s="84">
        <f t="shared" si="23"/>
        <v>2022</v>
      </c>
      <c r="B83" s="93">
        <v>44743</v>
      </c>
      <c r="C83" s="86">
        <f>VLOOKUP($B83,dados!$D$4:$U$272,2,FALSE)</f>
        <v>98.756479999999996</v>
      </c>
      <c r="D83" s="86">
        <f>VLOOKUP($B83,dados!$D$4:$U$272,3,FALSE)</f>
        <v>102.62372999999999</v>
      </c>
      <c r="E83" s="86">
        <f>VLOOKUP($B83,dados!$D$4:$U$272,4,FALSE)</f>
        <v>98.594309999999993</v>
      </c>
      <c r="F83" s="86">
        <f>VLOOKUP($B83,dados!$D$4:$U$272,5,FALSE)</f>
        <v>106.99679999999999</v>
      </c>
      <c r="G83" s="86">
        <f>VLOOKUP($B83,dados!$D$4:$U$272,6,FALSE)</f>
        <v>101.69822000000001</v>
      </c>
      <c r="H83" s="86">
        <f>VLOOKUP($B83,dados!$D$4:$U$272,7,FALSE)</f>
        <v>81.090230000000005</v>
      </c>
      <c r="I83" s="86" t="str">
        <f>VLOOKUP($B83,dados!$D$4:$U$272,8,FALSE)</f>
        <v>-</v>
      </c>
      <c r="J83" s="86">
        <f>VLOOKUP($B83,dados!$D$4:$U$272,9,FALSE)</f>
        <v>113.07876</v>
      </c>
      <c r="K83" s="86">
        <f>VLOOKUP($B83,dados!$D$4:$U$272,10,FALSE)</f>
        <v>110.72927</v>
      </c>
      <c r="L83" s="86">
        <f>VLOOKUP($B83,dados!$D$4:$U$272,11,FALSE)</f>
        <v>103.68868999999999</v>
      </c>
      <c r="M83" s="86">
        <f>VLOOKUP($B83,dados!$D$4:$U$272,12,FALSE)</f>
        <v>107.51433</v>
      </c>
      <c r="N83" s="86">
        <f>VLOOKUP($B83,dados!$D$4:$U$272,13,FALSE)</f>
        <v>96.803100000000001</v>
      </c>
      <c r="O83" s="86">
        <f>VLOOKUP($B83,dados!$D$4:$U$272,14,FALSE)</f>
        <v>112.55226</v>
      </c>
      <c r="P83" s="86">
        <f>VLOOKUP($B83,dados!$D$4:$U$272,15,FALSE)</f>
        <v>104.14751</v>
      </c>
      <c r="Q83" s="86">
        <f>VLOOKUP($B83,dados!$D$4:$U$272,16,FALSE)</f>
        <v>116.79192</v>
      </c>
      <c r="R83" s="86">
        <f>VLOOKUP($B83,dados!$D$4:$U$272,17,FALSE)</f>
        <v>102.06824</v>
      </c>
      <c r="S83" s="87">
        <f>VLOOKUP($B83,dados!$D$4:$U$272,18,FALSE)</f>
        <v>100.24824</v>
      </c>
    </row>
    <row r="84" spans="1:19" s="19" customFormat="1" ht="12.75" x14ac:dyDescent="0.2">
      <c r="A84" s="84">
        <f t="shared" si="23"/>
        <v>2022</v>
      </c>
      <c r="B84" s="93">
        <v>44774</v>
      </c>
      <c r="C84" s="86">
        <f>VLOOKUP($B84,dados!$D$4:$U$272,2,FALSE)</f>
        <v>100.45251</v>
      </c>
      <c r="D84" s="86">
        <f>VLOOKUP($B84,dados!$D$4:$U$272,3,FALSE)</f>
        <v>105.29613999999999</v>
      </c>
      <c r="E84" s="86">
        <f>VLOOKUP($B84,dados!$D$4:$U$272,4,FALSE)</f>
        <v>101.09014000000001</v>
      </c>
      <c r="F84" s="86">
        <f>VLOOKUP($B84,dados!$D$4:$U$272,5,FALSE)</f>
        <v>109.86085</v>
      </c>
      <c r="G84" s="86">
        <f>VLOOKUP($B84,dados!$D$4:$U$272,6,FALSE)</f>
        <v>96.688630000000003</v>
      </c>
      <c r="H84" s="86">
        <f>VLOOKUP($B84,dados!$D$4:$U$272,7,FALSE)</f>
        <v>102.27</v>
      </c>
      <c r="I84" s="86" t="str">
        <f>VLOOKUP($B84,dados!$D$4:$U$272,8,FALSE)</f>
        <v>-</v>
      </c>
      <c r="J84" s="86">
        <f>VLOOKUP($B84,dados!$D$4:$U$272,9,FALSE)</f>
        <v>109.07426</v>
      </c>
      <c r="K84" s="86">
        <f>VLOOKUP($B84,dados!$D$4:$U$272,10,FALSE)</f>
        <v>116.92728</v>
      </c>
      <c r="L84" s="86">
        <f>VLOOKUP($B84,dados!$D$4:$U$272,11,FALSE)</f>
        <v>123.91822999999999</v>
      </c>
      <c r="M84" s="86">
        <f>VLOOKUP($B84,dados!$D$4:$U$272,12,FALSE)</f>
        <v>106.31703</v>
      </c>
      <c r="N84" s="86">
        <f>VLOOKUP($B84,dados!$D$4:$U$272,13,FALSE)</f>
        <v>107.71883</v>
      </c>
      <c r="O84" s="86">
        <f>VLOOKUP($B84,dados!$D$4:$U$272,14,FALSE)</f>
        <v>113.67274</v>
      </c>
      <c r="P84" s="86">
        <f>VLOOKUP($B84,dados!$D$4:$U$272,15,FALSE)</f>
        <v>100.96281999999999</v>
      </c>
      <c r="Q84" s="86">
        <f>VLOOKUP($B84,dados!$D$4:$U$272,16,FALSE)</f>
        <v>113.24472</v>
      </c>
      <c r="R84" s="86">
        <f>VLOOKUP($B84,dados!$D$4:$U$272,17,FALSE)</f>
        <v>120.34761</v>
      </c>
      <c r="S84" s="87">
        <f>VLOOKUP($B84,dados!$D$4:$U$272,18,FALSE)</f>
        <v>109.12009999999999</v>
      </c>
    </row>
    <row r="85" spans="1:19" s="19" customFormat="1" ht="12.75" x14ac:dyDescent="0.2">
      <c r="A85" s="84">
        <f t="shared" si="23"/>
        <v>2022</v>
      </c>
      <c r="B85" s="93">
        <v>44805</v>
      </c>
      <c r="C85" s="86">
        <f>VLOOKUP($B85,dados!$D$4:$U$272,2,FALSE)</f>
        <v>100.70456</v>
      </c>
      <c r="D85" s="86">
        <f>VLOOKUP($B85,dados!$D$4:$U$272,3,FALSE)</f>
        <v>102.96708</v>
      </c>
      <c r="E85" s="86">
        <f>VLOOKUP($B85,dados!$D$4:$U$272,4,FALSE)</f>
        <v>101.33825</v>
      </c>
      <c r="F85" s="86">
        <f>VLOOKUP($B85,dados!$D$4:$U$272,5,FALSE)</f>
        <v>104.73483</v>
      </c>
      <c r="G85" s="86">
        <f>VLOOKUP($B85,dados!$D$4:$U$272,6,FALSE)</f>
        <v>93.609669999999994</v>
      </c>
      <c r="H85" s="86">
        <f>VLOOKUP($B85,dados!$D$4:$U$272,7,FALSE)</f>
        <v>94.085790000000003</v>
      </c>
      <c r="I85" s="86" t="str">
        <f>VLOOKUP($B85,dados!$D$4:$U$272,8,FALSE)</f>
        <v>-</v>
      </c>
      <c r="J85" s="86">
        <f>VLOOKUP($B85,dados!$D$4:$U$272,9,FALSE)</f>
        <v>111.73309999999999</v>
      </c>
      <c r="K85" s="86">
        <f>VLOOKUP($B85,dados!$D$4:$U$272,10,FALSE)</f>
        <v>120.54915</v>
      </c>
      <c r="L85" s="86">
        <f>VLOOKUP($B85,dados!$D$4:$U$272,11,FALSE)</f>
        <v>112.41858000000001</v>
      </c>
      <c r="M85" s="86">
        <f>VLOOKUP($B85,dados!$D$4:$U$272,12,FALSE)</f>
        <v>100.58803</v>
      </c>
      <c r="N85" s="86">
        <f>VLOOKUP($B85,dados!$D$4:$U$272,13,FALSE)</f>
        <v>99.018370000000004</v>
      </c>
      <c r="O85" s="86">
        <f>VLOOKUP($B85,dados!$D$4:$U$272,14,FALSE)</f>
        <v>93.780619999999999</v>
      </c>
      <c r="P85" s="86">
        <f>VLOOKUP($B85,dados!$D$4:$U$272,15,FALSE)</f>
        <v>98.27722</v>
      </c>
      <c r="Q85" s="86">
        <f>VLOOKUP($B85,dados!$D$4:$U$272,16,FALSE)</f>
        <v>96.281679999999994</v>
      </c>
      <c r="R85" s="86">
        <f>VLOOKUP($B85,dados!$D$4:$U$272,17,FALSE)</f>
        <v>130.47963999999999</v>
      </c>
      <c r="S85" s="87">
        <f>VLOOKUP($B85,dados!$D$4:$U$272,18,FALSE)</f>
        <v>103.29773</v>
      </c>
    </row>
    <row r="86" spans="1:19" s="19" customFormat="1" ht="12.75" x14ac:dyDescent="0.2">
      <c r="A86" s="84">
        <f t="shared" si="23"/>
        <v>2022</v>
      </c>
      <c r="B86" s="93">
        <v>44835</v>
      </c>
      <c r="C86" s="86">
        <f>VLOOKUP($B86,dados!$D$4:$U$272,2,FALSE)</f>
        <v>109.31553</v>
      </c>
      <c r="D86" s="86">
        <f>VLOOKUP($B86,dados!$D$4:$U$272,3,FALSE)</f>
        <v>114.82825</v>
      </c>
      <c r="E86" s="86">
        <f>VLOOKUP($B86,dados!$D$4:$U$272,4,FALSE)</f>
        <v>122.12134</v>
      </c>
      <c r="F86" s="86">
        <f>VLOOKUP($B86,dados!$D$4:$U$272,5,FALSE)</f>
        <v>106.91318</v>
      </c>
      <c r="G86" s="86">
        <f>VLOOKUP($B86,dados!$D$4:$U$272,6,FALSE)</f>
        <v>96.701170000000005</v>
      </c>
      <c r="H86" s="86">
        <f>VLOOKUP($B86,dados!$D$4:$U$272,7,FALSE)</f>
        <v>100.53695</v>
      </c>
      <c r="I86" s="86" t="str">
        <f>VLOOKUP($B86,dados!$D$4:$U$272,8,FALSE)</f>
        <v>-</v>
      </c>
      <c r="J86" s="86">
        <f>VLOOKUP($B86,dados!$D$4:$U$272,9,FALSE)</f>
        <v>108.72444</v>
      </c>
      <c r="K86" s="86">
        <f>VLOOKUP($B86,dados!$D$4:$U$272,10,FALSE)</f>
        <v>122.26116</v>
      </c>
      <c r="L86" s="86">
        <f>VLOOKUP($B86,dados!$D$4:$U$272,11,FALSE)</f>
        <v>93.19171</v>
      </c>
      <c r="M86" s="86">
        <f>VLOOKUP($B86,dados!$D$4:$U$272,12,FALSE)</f>
        <v>103.43419</v>
      </c>
      <c r="N86" s="86">
        <f>VLOOKUP($B86,dados!$D$4:$U$272,13,FALSE)</f>
        <v>96.070440000000005</v>
      </c>
      <c r="O86" s="86">
        <f>VLOOKUP($B86,dados!$D$4:$U$272,14,FALSE)</f>
        <v>110.91005</v>
      </c>
      <c r="P86" s="86">
        <f>VLOOKUP($B86,dados!$D$4:$U$272,15,FALSE)</f>
        <v>97.112960000000001</v>
      </c>
      <c r="Q86" s="86">
        <f>VLOOKUP($B86,dados!$D$4:$U$272,16,FALSE)</f>
        <v>100.34441</v>
      </c>
      <c r="R86" s="86">
        <f>VLOOKUP($B86,dados!$D$4:$U$272,17,FALSE)</f>
        <v>136.01464999999999</v>
      </c>
      <c r="S86" s="87">
        <f>VLOOKUP($B86,dados!$D$4:$U$272,18,FALSE)</f>
        <v>104.35346</v>
      </c>
    </row>
    <row r="87" spans="1:19" s="19" customFormat="1" ht="12.75" x14ac:dyDescent="0.2">
      <c r="A87" s="84">
        <f t="shared" si="23"/>
        <v>2022</v>
      </c>
      <c r="B87" s="93">
        <v>44866</v>
      </c>
      <c r="C87" s="86">
        <f>VLOOKUP($B87,dados!$D$4:$U$272,2,FALSE)</f>
        <v>101.80065</v>
      </c>
      <c r="D87" s="86">
        <f>VLOOKUP($B87,dados!$D$4:$U$272,3,FALSE)</f>
        <v>102.51759</v>
      </c>
      <c r="E87" s="86">
        <f>VLOOKUP($B87,dados!$D$4:$U$272,4,FALSE)</f>
        <v>100.96167</v>
      </c>
      <c r="F87" s="86">
        <f>VLOOKUP($B87,dados!$D$4:$U$272,5,FALSE)</f>
        <v>104.2062</v>
      </c>
      <c r="G87" s="86">
        <f>VLOOKUP($B87,dados!$D$4:$U$272,6,FALSE)</f>
        <v>98.864369999999994</v>
      </c>
      <c r="H87" s="86">
        <f>VLOOKUP($B87,dados!$D$4:$U$272,7,FALSE)</f>
        <v>110.39106</v>
      </c>
      <c r="I87" s="86" t="str">
        <f>VLOOKUP($B87,dados!$D$4:$U$272,8,FALSE)</f>
        <v>-</v>
      </c>
      <c r="J87" s="86">
        <f>VLOOKUP($B87,dados!$D$4:$U$272,9,FALSE)</f>
        <v>97.685879999999997</v>
      </c>
      <c r="K87" s="86">
        <f>VLOOKUP($B87,dados!$D$4:$U$272,10,FALSE)</f>
        <v>118.18436</v>
      </c>
      <c r="L87" s="86">
        <f>VLOOKUP($B87,dados!$D$4:$U$272,11,FALSE)</f>
        <v>154.56335999999999</v>
      </c>
      <c r="M87" s="86">
        <f>VLOOKUP($B87,dados!$D$4:$U$272,12,FALSE)</f>
        <v>94.809690000000003</v>
      </c>
      <c r="N87" s="86">
        <f>VLOOKUP($B87,dados!$D$4:$U$272,13,FALSE)</f>
        <v>102.45466999999999</v>
      </c>
      <c r="O87" s="86">
        <f>VLOOKUP($B87,dados!$D$4:$U$272,14,FALSE)</f>
        <v>98.488849999999999</v>
      </c>
      <c r="P87" s="86">
        <f>VLOOKUP($B87,dados!$D$4:$U$272,15,FALSE)</f>
        <v>88.20384</v>
      </c>
      <c r="Q87" s="86">
        <f>VLOOKUP($B87,dados!$D$4:$U$272,16,FALSE)</f>
        <v>109.61574</v>
      </c>
      <c r="R87" s="86">
        <f>VLOOKUP($B87,dados!$D$4:$U$272,17,FALSE)</f>
        <v>137.96213</v>
      </c>
      <c r="S87" s="87">
        <f>VLOOKUP($B87,dados!$D$4:$U$272,18,FALSE)</f>
        <v>91.548749999999998</v>
      </c>
    </row>
    <row r="88" spans="1:19" s="19" customFormat="1" ht="12.75" x14ac:dyDescent="0.2">
      <c r="A88" s="84">
        <f t="shared" si="23"/>
        <v>2022</v>
      </c>
      <c r="B88" s="93">
        <v>44896</v>
      </c>
      <c r="C88" s="86">
        <f>VLOOKUP($B88,dados!$D$4:$U$272,2,FALSE)</f>
        <v>101.53095999999999</v>
      </c>
      <c r="D88" s="86">
        <f>VLOOKUP($B88,dados!$D$4:$U$272,3,FALSE)</f>
        <v>101.33292</v>
      </c>
      <c r="E88" s="86">
        <f>VLOOKUP($B88,dados!$D$4:$U$272,4,FALSE)</f>
        <v>100.34473</v>
      </c>
      <c r="F88" s="86">
        <f>VLOOKUP($B88,dados!$D$4:$U$272,5,FALSE)</f>
        <v>102.40537999999999</v>
      </c>
      <c r="G88" s="86">
        <f>VLOOKUP($B88,dados!$D$4:$U$272,6,FALSE)</f>
        <v>102.24525</v>
      </c>
      <c r="H88" s="86">
        <f>VLOOKUP($B88,dados!$D$4:$U$272,7,FALSE)</f>
        <v>118.82375</v>
      </c>
      <c r="I88" s="86" t="str">
        <f>VLOOKUP($B88,dados!$D$4:$U$272,8,FALSE)</f>
        <v>-</v>
      </c>
      <c r="J88" s="86">
        <f>VLOOKUP($B88,dados!$D$4:$U$272,9,FALSE)</f>
        <v>121.21693</v>
      </c>
      <c r="K88" s="86">
        <f>VLOOKUP($B88,dados!$D$4:$U$272,10,FALSE)</f>
        <v>76.162700000000001</v>
      </c>
      <c r="L88" s="86">
        <f>VLOOKUP($B88,dados!$D$4:$U$272,11,FALSE)</f>
        <v>132.09186</v>
      </c>
      <c r="M88" s="86">
        <f>VLOOKUP($B88,dados!$D$4:$U$272,12,FALSE)</f>
        <v>79.809539999999998</v>
      </c>
      <c r="N88" s="86">
        <f>VLOOKUP($B88,dados!$D$4:$U$272,13,FALSE)</f>
        <v>110.88739</v>
      </c>
      <c r="O88" s="86">
        <f>VLOOKUP($B88,dados!$D$4:$U$272,14,FALSE)</f>
        <v>76.430329999999998</v>
      </c>
      <c r="P88" s="86">
        <f>VLOOKUP($B88,dados!$D$4:$U$272,15,FALSE)</f>
        <v>82.81044</v>
      </c>
      <c r="Q88" s="86">
        <f>VLOOKUP($B88,dados!$D$4:$U$272,16,FALSE)</f>
        <v>91.774169999999998</v>
      </c>
      <c r="R88" s="86">
        <f>VLOOKUP($B88,dados!$D$4:$U$272,17,FALSE)</f>
        <v>144.05385999999999</v>
      </c>
      <c r="S88" s="87">
        <f>VLOOKUP($B88,dados!$D$4:$U$272,18,FALSE)</f>
        <v>101.50556</v>
      </c>
    </row>
    <row r="89" spans="1:19" s="19" customFormat="1" ht="12.75" x14ac:dyDescent="0.2">
      <c r="A89" s="92"/>
      <c r="B89" s="93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7"/>
    </row>
    <row r="90" spans="1:19" s="19" customFormat="1" ht="12.75" x14ac:dyDescent="0.2">
      <c r="A90" s="92">
        <f>A91</f>
        <v>2023</v>
      </c>
      <c r="B90" s="89" t="s">
        <v>6</v>
      </c>
      <c r="C90" s="90">
        <f>SUM(C91:C98)</f>
        <v>818.51665000000003</v>
      </c>
      <c r="D90" s="90">
        <f>SUM(D91:D98)</f>
        <v>810.21249000000012</v>
      </c>
      <c r="E90" s="90">
        <f>SUM(E91:E98)</f>
        <v>834.00423999999998</v>
      </c>
      <c r="F90" s="90">
        <f>SUM(F91:F98)</f>
        <v>784.39168999999993</v>
      </c>
      <c r="G90" s="90">
        <f>SUM(G91:G98)</f>
        <v>760.93326999999999</v>
      </c>
      <c r="H90" s="90">
        <f>SUM(H91:H98)</f>
        <v>782.2387500000001</v>
      </c>
      <c r="I90" s="90">
        <f>SUM(I91:I98)</f>
        <v>0</v>
      </c>
      <c r="J90" s="90">
        <f>SUM(J91:J98)</f>
        <v>871.03744000000006</v>
      </c>
      <c r="K90" s="90">
        <f>SUM(K91:K98)</f>
        <v>719.19421999999997</v>
      </c>
      <c r="L90" s="90">
        <f>SUM(L91:L98)</f>
        <v>625.41683</v>
      </c>
      <c r="M90" s="90">
        <f>SUM(M91:M98)</f>
        <v>731.11519999999996</v>
      </c>
      <c r="N90" s="90">
        <f>SUM(N91:N98)</f>
        <v>946.81268</v>
      </c>
      <c r="O90" s="90">
        <f>SUM(O91:O98)</f>
        <v>746.34658000000002</v>
      </c>
      <c r="P90" s="90">
        <f>SUM(P91:P98)</f>
        <v>724.96882999999991</v>
      </c>
      <c r="Q90" s="90">
        <f>SUM(Q91:Q98)</f>
        <v>721.70196999999996</v>
      </c>
      <c r="R90" s="90">
        <f t="shared" ref="R90:S90" si="24">SUM(R91:R98)</f>
        <v>1262.2733400000002</v>
      </c>
      <c r="S90" s="91">
        <f t="shared" si="24"/>
        <v>787.89315000000011</v>
      </c>
    </row>
    <row r="91" spans="1:19" s="19" customFormat="1" ht="12.75" x14ac:dyDescent="0.2">
      <c r="A91" s="84">
        <f>YEAR(B91)</f>
        <v>2023</v>
      </c>
      <c r="B91" s="93">
        <v>44927</v>
      </c>
      <c r="C91" s="142">
        <f>VLOOKUP($B91,dados!$D$4:$U$272,2,FALSE)</f>
        <v>100.73014999999999</v>
      </c>
      <c r="D91" s="86">
        <f>VLOOKUP($B91,dados!$D$4:$U$272,3,FALSE)</f>
        <v>101.15138</v>
      </c>
      <c r="E91" s="86">
        <f>VLOOKUP($B91,dados!$D$4:$U$272,4,FALSE)</f>
        <v>106.67131999999999</v>
      </c>
      <c r="F91" s="86">
        <f>VLOOKUP($B91,dados!$D$4:$U$272,5,FALSE)</f>
        <v>95.160679999999999</v>
      </c>
      <c r="G91" s="86">
        <f>VLOOKUP($B91,dados!$D$4:$U$272,6,FALSE)</f>
        <v>96.27731</v>
      </c>
      <c r="H91" s="86">
        <f>VLOOKUP($B91,dados!$D$4:$U$272,7,FALSE)</f>
        <v>99.742130000000003</v>
      </c>
      <c r="I91" s="86" t="str">
        <f>VLOOKUP($B91,dados!$D$4:$U$272,8,FALSE)</f>
        <v>-</v>
      </c>
      <c r="J91" s="86">
        <f>VLOOKUP($B91,dados!$D$4:$U$272,9,FALSE)</f>
        <v>106.50855</v>
      </c>
      <c r="K91" s="86">
        <f>VLOOKUP($B91,dados!$D$4:$U$272,10,FALSE)</f>
        <v>99.623109999999997</v>
      </c>
      <c r="L91" s="86">
        <f>VLOOKUP($B91,dados!$D$4:$U$272,11,FALSE)</f>
        <v>78.891570000000002</v>
      </c>
      <c r="M91" s="86">
        <f>VLOOKUP($B91,dados!$D$4:$U$272,12,FALSE)</f>
        <v>90.239369999999994</v>
      </c>
      <c r="N91" s="86">
        <f>VLOOKUP($B91,dados!$D$4:$U$272,13,FALSE)</f>
        <v>112.25317</v>
      </c>
      <c r="O91" s="86">
        <f>VLOOKUP($B91,dados!$D$4:$U$272,14,FALSE)</f>
        <v>84.306219999999996</v>
      </c>
      <c r="P91" s="86">
        <f>VLOOKUP($B91,dados!$D$4:$U$272,15,FALSE)</f>
        <v>90.359470000000002</v>
      </c>
      <c r="Q91" s="86">
        <f>VLOOKUP($B91,dados!$D$4:$U$272,16,FALSE)</f>
        <v>72.304659999999998</v>
      </c>
      <c r="R91" s="86">
        <f>VLOOKUP($B91,dados!$D$4:$U$272,17,FALSE)</f>
        <v>162.55031</v>
      </c>
      <c r="S91" s="87">
        <f>VLOOKUP($B91,dados!$D$4:$U$272,18,FALSE)</f>
        <v>98.461129999999997</v>
      </c>
    </row>
    <row r="92" spans="1:19" s="19" customFormat="1" ht="12.75" x14ac:dyDescent="0.2">
      <c r="A92" s="84">
        <f t="shared" ref="A92:A98" si="25">YEAR(B92)</f>
        <v>2023</v>
      </c>
      <c r="B92" s="93">
        <v>44958</v>
      </c>
      <c r="C92" s="142">
        <f>VLOOKUP($B92,dados!$D$4:$U$272,2,FALSE)</f>
        <v>101.78019</v>
      </c>
      <c r="D92" s="86">
        <f>VLOOKUP($B92,dados!$D$4:$U$272,3,FALSE)</f>
        <v>93.437690000000003</v>
      </c>
      <c r="E92" s="86">
        <f>VLOOKUP($B92,dados!$D$4:$U$272,4,FALSE)</f>
        <v>94.182540000000003</v>
      </c>
      <c r="F92" s="86">
        <f>VLOOKUP($B92,dados!$D$4:$U$272,5,FALSE)</f>
        <v>92.629310000000004</v>
      </c>
      <c r="G92" s="86">
        <f>VLOOKUP($B92,dados!$D$4:$U$272,6,FALSE)</f>
        <v>86.345640000000003</v>
      </c>
      <c r="H92" s="86">
        <f>VLOOKUP($B92,dados!$D$4:$U$272,7,FALSE)</f>
        <v>103.56985</v>
      </c>
      <c r="I92" s="86" t="str">
        <f>VLOOKUP($B92,dados!$D$4:$U$272,8,FALSE)</f>
        <v>-</v>
      </c>
      <c r="J92" s="86">
        <f>VLOOKUP($B92,dados!$D$4:$U$272,9,FALSE)</f>
        <v>108.94592</v>
      </c>
      <c r="K92" s="86">
        <f>VLOOKUP($B92,dados!$D$4:$U$272,10,FALSE)</f>
        <v>82.785610000000005</v>
      </c>
      <c r="L92" s="86">
        <f>VLOOKUP($B92,dados!$D$4:$U$272,11,FALSE)</f>
        <v>80.390060000000005</v>
      </c>
      <c r="M92" s="86">
        <f>VLOOKUP($B92,dados!$D$4:$U$272,12,FALSE)</f>
        <v>81.762680000000003</v>
      </c>
      <c r="N92" s="86">
        <f>VLOOKUP($B92,dados!$D$4:$U$272,13,FALSE)</f>
        <v>98.859480000000005</v>
      </c>
      <c r="O92" s="86">
        <f>VLOOKUP($B92,dados!$D$4:$U$272,14,FALSE)</f>
        <v>88.661389999999997</v>
      </c>
      <c r="P92" s="86">
        <f>VLOOKUP($B92,dados!$D$4:$U$272,15,FALSE)</f>
        <v>78.226190000000003</v>
      </c>
      <c r="Q92" s="86">
        <f>VLOOKUP($B92,dados!$D$4:$U$272,16,FALSE)</f>
        <v>93.287469999999999</v>
      </c>
      <c r="R92" s="86">
        <f>VLOOKUP($B92,dados!$D$4:$U$272,17,FALSE)</f>
        <v>132.53398999999999</v>
      </c>
      <c r="S92" s="87">
        <f>VLOOKUP($B92,dados!$D$4:$U$272,18,FALSE)</f>
        <v>85.075180000000003</v>
      </c>
    </row>
    <row r="93" spans="1:19" s="19" customFormat="1" ht="12.75" x14ac:dyDescent="0.2">
      <c r="A93" s="84">
        <f t="shared" si="25"/>
        <v>2023</v>
      </c>
      <c r="B93" s="93">
        <v>44986</v>
      </c>
      <c r="C93" s="142">
        <f>VLOOKUP($B93,dados!$D$4:$U$272,2,FALSE)</f>
        <v>103.48985</v>
      </c>
      <c r="D93" s="86">
        <f>VLOOKUP($B93,dados!$D$4:$U$272,3,FALSE)</f>
        <v>102.35405</v>
      </c>
      <c r="E93" s="86">
        <f>VLOOKUP($B93,dados!$D$4:$U$272,4,FALSE)</f>
        <v>102.16289999999999</v>
      </c>
      <c r="F93" s="86">
        <f>VLOOKUP($B93,dados!$D$4:$U$272,5,FALSE)</f>
        <v>102.5615</v>
      </c>
      <c r="G93" s="86">
        <f>VLOOKUP($B93,dados!$D$4:$U$272,6,FALSE)</f>
        <v>99.986890000000002</v>
      </c>
      <c r="H93" s="86">
        <f>VLOOKUP($B93,dados!$D$4:$U$272,7,FALSE)</f>
        <v>107.51589</v>
      </c>
      <c r="I93" s="86" t="str">
        <f>VLOOKUP($B93,dados!$D$4:$U$272,8,FALSE)</f>
        <v>-</v>
      </c>
      <c r="J93" s="86">
        <f>VLOOKUP($B93,dados!$D$4:$U$272,9,FALSE)</f>
        <v>111.18974</v>
      </c>
      <c r="K93" s="86">
        <f>VLOOKUP($B93,dados!$D$4:$U$272,10,FALSE)</f>
        <v>82.961550000000003</v>
      </c>
      <c r="L93" s="86">
        <f>VLOOKUP($B93,dados!$D$4:$U$272,11,FALSE)</f>
        <v>87.343860000000006</v>
      </c>
      <c r="M93" s="86">
        <f>VLOOKUP($B93,dados!$D$4:$U$272,12,FALSE)</f>
        <v>96.332930000000005</v>
      </c>
      <c r="N93" s="86">
        <f>VLOOKUP($B93,dados!$D$4:$U$272,13,FALSE)</f>
        <v>122.84301000000001</v>
      </c>
      <c r="O93" s="86">
        <f>VLOOKUP($B93,dados!$D$4:$U$272,14,FALSE)</f>
        <v>87.692179999999993</v>
      </c>
      <c r="P93" s="86">
        <f>VLOOKUP($B93,dados!$D$4:$U$272,15,FALSE)</f>
        <v>103.55164000000001</v>
      </c>
      <c r="Q93" s="86">
        <f>VLOOKUP($B93,dados!$D$4:$U$272,16,FALSE)</f>
        <v>100.31835</v>
      </c>
      <c r="R93" s="86">
        <f>VLOOKUP($B93,dados!$D$4:$U$272,17,FALSE)</f>
        <v>189.54689999999999</v>
      </c>
      <c r="S93" s="87">
        <f>VLOOKUP($B93,dados!$D$4:$U$272,18,FALSE)</f>
        <v>100.89605</v>
      </c>
    </row>
    <row r="94" spans="1:19" s="19" customFormat="1" ht="12.75" x14ac:dyDescent="0.2">
      <c r="A94" s="84">
        <f t="shared" si="25"/>
        <v>2023</v>
      </c>
      <c r="B94" s="93">
        <v>45017</v>
      </c>
      <c r="C94" s="142">
        <f>VLOOKUP($B94,dados!$D$4:$U$272,2,FALSE)</f>
        <v>101.82038</v>
      </c>
      <c r="D94" s="86">
        <f>VLOOKUP($B94,dados!$D$4:$U$272,3,FALSE)</f>
        <v>96.960130000000007</v>
      </c>
      <c r="E94" s="86">
        <f>VLOOKUP($B94,dados!$D$4:$U$272,4,FALSE)</f>
        <v>98.73133</v>
      </c>
      <c r="F94" s="86">
        <f>VLOOKUP($B94,dados!$D$4:$U$272,5,FALSE)</f>
        <v>95.037880000000001</v>
      </c>
      <c r="G94" s="86">
        <f>VLOOKUP($B94,dados!$D$4:$U$272,6,FALSE)</f>
        <v>93.683899999999994</v>
      </c>
      <c r="H94" s="86">
        <f>VLOOKUP($B94,dados!$D$4:$U$272,7,FALSE)</f>
        <v>100.16099</v>
      </c>
      <c r="I94" s="86" t="str">
        <f>VLOOKUP($B94,dados!$D$4:$U$272,8,FALSE)</f>
        <v>-</v>
      </c>
      <c r="J94" s="86">
        <f>VLOOKUP($B94,dados!$D$4:$U$272,9,FALSE)</f>
        <v>108.61347000000001</v>
      </c>
      <c r="K94" s="86">
        <f>VLOOKUP($B94,dados!$D$4:$U$272,10,FALSE)</f>
        <v>72.941249999999997</v>
      </c>
      <c r="L94" s="86">
        <f>VLOOKUP($B94,dados!$D$4:$U$272,11,FALSE)</f>
        <v>84.576800000000006</v>
      </c>
      <c r="M94" s="86">
        <f>VLOOKUP($B94,dados!$D$4:$U$272,12,FALSE)</f>
        <v>95.950140000000005</v>
      </c>
      <c r="N94" s="86">
        <f>VLOOKUP($B94,dados!$D$4:$U$272,13,FALSE)</f>
        <v>114.79846999999999</v>
      </c>
      <c r="O94" s="86">
        <f>VLOOKUP($B94,dados!$D$4:$U$272,14,FALSE)</f>
        <v>90.544390000000007</v>
      </c>
      <c r="P94" s="86">
        <f>VLOOKUP($B94,dados!$D$4:$U$272,15,FALSE)</f>
        <v>84.114999999999995</v>
      </c>
      <c r="Q94" s="86">
        <f>VLOOKUP($B94,dados!$D$4:$U$272,16,FALSE)</f>
        <v>74.440119999999993</v>
      </c>
      <c r="R94" s="86">
        <f>VLOOKUP($B94,dados!$D$4:$U$272,17,FALSE)</f>
        <v>140.81845999999999</v>
      </c>
      <c r="S94" s="87">
        <f>VLOOKUP($B94,dados!$D$4:$U$272,18,FALSE)</f>
        <v>91.508679999999998</v>
      </c>
    </row>
    <row r="95" spans="1:19" s="19" customFormat="1" ht="12.75" x14ac:dyDescent="0.2">
      <c r="A95" s="84">
        <f t="shared" si="25"/>
        <v>2023</v>
      </c>
      <c r="B95" s="93">
        <v>45047</v>
      </c>
      <c r="C95" s="142">
        <f>VLOOKUP($B95,dados!$D$4:$U$272,2,FALSE)</f>
        <v>100.40269000000001</v>
      </c>
      <c r="D95" s="86">
        <f>VLOOKUP($B95,dados!$D$4:$U$272,3,FALSE)</f>
        <v>99.132639999999995</v>
      </c>
      <c r="E95" s="86">
        <f>VLOOKUP($B95,dados!$D$4:$U$272,4,FALSE)</f>
        <v>102.63813</v>
      </c>
      <c r="F95" s="86">
        <f>VLOOKUP($B95,dados!$D$4:$U$272,5,FALSE)</f>
        <v>95.328190000000006</v>
      </c>
      <c r="G95" s="86">
        <f>VLOOKUP($B95,dados!$D$4:$U$272,6,FALSE)</f>
        <v>97.191119999999998</v>
      </c>
      <c r="H95" s="86">
        <f>VLOOKUP($B95,dados!$D$4:$U$272,7,FALSE)</f>
        <v>98.472300000000004</v>
      </c>
      <c r="I95" s="86" t="str">
        <f>VLOOKUP($B95,dados!$D$4:$U$272,8,FALSE)</f>
        <v>-</v>
      </c>
      <c r="J95" s="86">
        <f>VLOOKUP($B95,dados!$D$4:$U$272,9,FALSE)</f>
        <v>96.940060000000003</v>
      </c>
      <c r="K95" s="86">
        <f>VLOOKUP($B95,dados!$D$4:$U$272,10,FALSE)</f>
        <v>69.414659999999998</v>
      </c>
      <c r="L95" s="86">
        <f>VLOOKUP($B95,dados!$D$4:$U$272,11,FALSE)</f>
        <v>76.967359999999999</v>
      </c>
      <c r="M95" s="86">
        <f>VLOOKUP($B95,dados!$D$4:$U$272,12,FALSE)</f>
        <v>94.380809999999997</v>
      </c>
      <c r="N95" s="86">
        <f>VLOOKUP($B95,dados!$D$4:$U$272,13,FALSE)</f>
        <v>124.41527000000001</v>
      </c>
      <c r="O95" s="86">
        <f>VLOOKUP($B95,dados!$D$4:$U$272,14,FALSE)</f>
        <v>101.79326</v>
      </c>
      <c r="P95" s="86">
        <f>VLOOKUP($B95,dados!$D$4:$U$272,15,FALSE)</f>
        <v>93.009280000000004</v>
      </c>
      <c r="Q95" s="86">
        <f>VLOOKUP($B95,dados!$D$4:$U$272,16,FALSE)</f>
        <v>104.40843</v>
      </c>
      <c r="R95" s="86">
        <f>VLOOKUP($B95,dados!$D$4:$U$272,17,FALSE)</f>
        <v>170.10579999999999</v>
      </c>
      <c r="S95" s="87">
        <f>VLOOKUP($B95,dados!$D$4:$U$272,18,FALSE)</f>
        <v>100.94009</v>
      </c>
    </row>
    <row r="96" spans="1:19" s="19" customFormat="1" ht="12.75" x14ac:dyDescent="0.2">
      <c r="A96" s="84">
        <f t="shared" si="25"/>
        <v>2023</v>
      </c>
      <c r="B96" s="93">
        <v>45078</v>
      </c>
      <c r="C96" s="142">
        <f>VLOOKUP($B96,dados!$D$4:$U$272,2,FALSE)</f>
        <v>103.41271999999999</v>
      </c>
      <c r="D96" s="142">
        <f>VLOOKUP($B96,dados!$D$4:$U$272,3,FALSE)</f>
        <v>101.59558</v>
      </c>
      <c r="E96" s="86">
        <f>VLOOKUP($B96,dados!$D$4:$U$272,4,FALSE)</f>
        <v>105.05194</v>
      </c>
      <c r="F96" s="86">
        <f>VLOOKUP($B96,dados!$D$4:$U$272,5,FALSE)</f>
        <v>97.844449999999995</v>
      </c>
      <c r="G96" s="86">
        <f>VLOOKUP($B96,dados!$D$4:$U$272,6,FALSE)</f>
        <v>85.314049999999995</v>
      </c>
      <c r="H96" s="86">
        <f>VLOOKUP($B96,dados!$D$4:$U$272,7,FALSE)</f>
        <v>83.634770000000003</v>
      </c>
      <c r="I96" s="86" t="str">
        <f>VLOOKUP($B96,dados!$D$4:$U$272,8,FALSE)</f>
        <v>-</v>
      </c>
      <c r="J96" s="86">
        <f>VLOOKUP($B96,dados!$D$4:$U$272,9,FALSE)</f>
        <v>113.74330999999999</v>
      </c>
      <c r="K96" s="86">
        <f>VLOOKUP($B96,dados!$D$4:$U$272,10,FALSE)</f>
        <v>88.994380000000007</v>
      </c>
      <c r="L96" s="86">
        <f>VLOOKUP($B96,dados!$D$4:$U$272,11,FALSE)</f>
        <v>61.733029999999999</v>
      </c>
      <c r="M96" s="86">
        <f>VLOOKUP($B96,dados!$D$4:$U$272,12,FALSE)</f>
        <v>89.617940000000004</v>
      </c>
      <c r="N96" s="86">
        <f>VLOOKUP($B96,dados!$D$4:$U$272,13,FALSE)</f>
        <v>123.61275000000001</v>
      </c>
      <c r="O96" s="86">
        <f>VLOOKUP($B96,dados!$D$4:$U$272,14,FALSE)</f>
        <v>95.829840000000004</v>
      </c>
      <c r="P96" s="86">
        <f>VLOOKUP($B96,dados!$D$4:$U$272,15,FALSE)</f>
        <v>92.113069999999993</v>
      </c>
      <c r="Q96" s="86">
        <f>VLOOKUP($B96,dados!$D$4:$U$272,16,FALSE)</f>
        <v>96.813040000000001</v>
      </c>
      <c r="R96" s="86">
        <f>VLOOKUP($B96,dados!$D$4:$U$272,17,FALSE)</f>
        <v>168.97346999999999</v>
      </c>
      <c r="S96" s="87">
        <f>VLOOKUP($B96,dados!$D$4:$U$272,18,FALSE)</f>
        <v>101.21301</v>
      </c>
    </row>
    <row r="97" spans="1:19" s="19" customFormat="1" ht="12.75" x14ac:dyDescent="0.2">
      <c r="A97" s="84">
        <f t="shared" si="25"/>
        <v>2023</v>
      </c>
      <c r="B97" s="93">
        <v>45108</v>
      </c>
      <c r="C97" s="142">
        <f>VLOOKUP($B97,dados!$D$4:$U$272,2,FALSE)</f>
        <v>102.57938</v>
      </c>
      <c r="D97" s="142">
        <f>VLOOKUP($B97,dados!$D$4:$U$272,3,FALSE)</f>
        <v>106.13692</v>
      </c>
      <c r="E97" s="86">
        <f>VLOOKUP($B97,dados!$D$4:$U$272,4,FALSE)</f>
        <v>113.71982</v>
      </c>
      <c r="F97" s="86">
        <f>VLOOKUP($B97,dados!$D$4:$U$272,5,FALSE)</f>
        <v>97.907330000000002</v>
      </c>
      <c r="G97" s="86">
        <f>VLOOKUP($B97,dados!$D$4:$U$272,6,FALSE)</f>
        <v>99.455889999999997</v>
      </c>
      <c r="H97" s="86">
        <f>VLOOKUP($B97,dados!$D$4:$U$272,7,FALSE)</f>
        <v>86.027379999999994</v>
      </c>
      <c r="I97" s="86" t="str">
        <f>VLOOKUP($B97,dados!$D$4:$U$272,8,FALSE)</f>
        <v>-</v>
      </c>
      <c r="J97" s="86">
        <f>VLOOKUP($B97,dados!$D$4:$U$272,9,FALSE)</f>
        <v>104.88531</v>
      </c>
      <c r="K97" s="86">
        <f>VLOOKUP($B97,dados!$D$4:$U$272,10,FALSE)</f>
        <v>104.57470000000001</v>
      </c>
      <c r="L97" s="86">
        <f>VLOOKUP($B97,dados!$D$4:$U$272,11,FALSE)</f>
        <v>76.374480000000005</v>
      </c>
      <c r="M97" s="86">
        <f>VLOOKUP($B97,dados!$D$4:$U$272,12,FALSE)</f>
        <v>88.691999999999993</v>
      </c>
      <c r="N97" s="86">
        <f>VLOOKUP($B97,dados!$D$4:$U$272,13,FALSE)</f>
        <v>125.18371</v>
      </c>
      <c r="O97" s="86">
        <f>VLOOKUP($B97,dados!$D$4:$U$272,14,FALSE)</f>
        <v>99.895120000000006</v>
      </c>
      <c r="P97" s="86">
        <f>VLOOKUP($B97,dados!$D$4:$U$272,15,FALSE)</f>
        <v>84.929540000000003</v>
      </c>
      <c r="Q97" s="86">
        <f>VLOOKUP($B97,dados!$D$4:$U$272,16,FALSE)</f>
        <v>74.240080000000006</v>
      </c>
      <c r="R97" s="86">
        <f>VLOOKUP($B97,dados!$D$4:$U$272,17,FALSE)</f>
        <v>149.32801000000001</v>
      </c>
      <c r="S97" s="87">
        <f>VLOOKUP($B97,dados!$D$4:$U$272,18,FALSE)</f>
        <v>104.61494</v>
      </c>
    </row>
    <row r="98" spans="1:19" s="19" customFormat="1" ht="12.75" x14ac:dyDescent="0.2">
      <c r="A98" s="84">
        <f t="shared" si="25"/>
        <v>2023</v>
      </c>
      <c r="B98" s="93">
        <v>45139</v>
      </c>
      <c r="C98" s="142">
        <f>VLOOKUP($B98,dados!$D$4:$U$272,2,FALSE)</f>
        <v>104.30128999999999</v>
      </c>
      <c r="D98" s="142">
        <f>VLOOKUP($B98,dados!$D$4:$U$272,3,FALSE)</f>
        <v>109.44410000000001</v>
      </c>
      <c r="E98" s="86">
        <f>VLOOKUP($B98,dados!$D$4:$U$272,4,FALSE)</f>
        <v>110.84626</v>
      </c>
      <c r="F98" s="86">
        <f>VLOOKUP($B98,dados!$D$4:$U$272,5,FALSE)</f>
        <v>107.92234999999999</v>
      </c>
      <c r="G98" s="86">
        <f>VLOOKUP($B98,dados!$D$4:$U$272,6,FALSE)</f>
        <v>102.67847</v>
      </c>
      <c r="H98" s="86">
        <f>VLOOKUP($B98,dados!$D$4:$U$272,7,FALSE)</f>
        <v>103.11544000000001</v>
      </c>
      <c r="I98" s="86" t="str">
        <f>VLOOKUP($B98,dados!$D$4:$U$272,8,FALSE)</f>
        <v>-</v>
      </c>
      <c r="J98" s="86">
        <f>VLOOKUP($B98,dados!$D$4:$U$272,9,FALSE)</f>
        <v>120.21108</v>
      </c>
      <c r="K98" s="86">
        <f>VLOOKUP($B98,dados!$D$4:$U$272,10,FALSE)</f>
        <v>117.89896</v>
      </c>
      <c r="L98" s="86">
        <f>VLOOKUP($B98,dados!$D$4:$U$272,11,FALSE)</f>
        <v>79.139669999999995</v>
      </c>
      <c r="M98" s="86">
        <f>VLOOKUP($B98,dados!$D$4:$U$272,12,FALSE)</f>
        <v>94.139330000000001</v>
      </c>
      <c r="N98" s="86">
        <f>VLOOKUP($B98,dados!$D$4:$U$272,13,FALSE)</f>
        <v>124.84681999999999</v>
      </c>
      <c r="O98" s="86">
        <f>VLOOKUP($B98,dados!$D$4:$U$272,14,FALSE)</f>
        <v>97.624179999999996</v>
      </c>
      <c r="P98" s="86">
        <f>VLOOKUP($B98,dados!$D$4:$U$272,15,FALSE)</f>
        <v>98.664640000000006</v>
      </c>
      <c r="Q98" s="86">
        <f>VLOOKUP($B98,dados!$D$4:$U$272,16,FALSE)</f>
        <v>105.88982</v>
      </c>
      <c r="R98" s="86">
        <f>VLOOKUP($B98,dados!$D$4:$U$272,17,FALSE)</f>
        <v>148.41640000000001</v>
      </c>
      <c r="S98" s="87">
        <f>VLOOKUP($B98,dados!$D$4:$U$272,18,FALSE)</f>
        <v>105.18407000000001</v>
      </c>
    </row>
    <row r="99" spans="1:19" s="19" customFormat="1" ht="12.75" x14ac:dyDescent="0.2">
      <c r="A99" s="84"/>
      <c r="B99" s="93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7"/>
    </row>
    <row r="100" spans="1:19" s="19" customFormat="1" ht="13.5" thickBot="1" x14ac:dyDescent="0.25">
      <c r="A100" s="94"/>
      <c r="B100" s="95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7"/>
    </row>
    <row r="101" spans="1:19" s="19" customFormat="1" ht="12.75" x14ac:dyDescent="0.2">
      <c r="A101" s="64" t="s">
        <v>2</v>
      </c>
      <c r="B101" s="65"/>
      <c r="C101" s="65"/>
      <c r="D101" s="65"/>
      <c r="E101" s="65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7"/>
    </row>
    <row r="102" spans="1:19" s="19" customFormat="1" ht="35.25" customHeight="1" x14ac:dyDescent="0.2">
      <c r="A102" s="23" t="str">
        <f>CONCATENATE("Variação do mês de ",(TEXT(A110,"MMMM"))&amp;" de "&amp;YEAR(A110)&amp;" /  mês anterior")</f>
        <v>Variação do mês de agosto de 2023 /  mês anterior</v>
      </c>
      <c r="B102" s="24"/>
      <c r="C102" s="24">
        <f>IFERROR((C114-C115)/C115 * 100,"-")</f>
        <v>1.6786122123179086</v>
      </c>
      <c r="D102" s="24">
        <f>(D114-D115)/ABS(D115) * 100</f>
        <v>3.1159562572571375</v>
      </c>
      <c r="E102" s="24">
        <f>IFERROR((E114-E115)/E115 * 100,"-")</f>
        <v>-2.5268770210856806</v>
      </c>
      <c r="F102" s="24">
        <f t="shared" ref="F102" si="26">IFERROR((F114-F115)/F115 * 100,"-")</f>
        <v>10.229080907425411</v>
      </c>
      <c r="G102" s="24">
        <f t="shared" ref="G102" si="27">(G114-G115)/ABS(G115) * 100</f>
        <v>3.2402103083085456</v>
      </c>
      <c r="H102" s="24">
        <f t="shared" ref="H102:I102" si="28">IFERROR((H114-H115)/H115 * 100,"-")</f>
        <v>19.863513221023368</v>
      </c>
      <c r="I102" s="24" t="str">
        <f t="shared" si="28"/>
        <v>-</v>
      </c>
      <c r="J102" s="24">
        <f t="shared" ref="J102" si="29">(J114-J115)/ABS(J115) * 100</f>
        <v>14.61193183297069</v>
      </c>
      <c r="K102" s="24">
        <f t="shared" ref="K102:L102" si="30">IFERROR((K114-K115)/K115 * 100,"-")</f>
        <v>12.741380085240497</v>
      </c>
      <c r="L102" s="24">
        <f t="shared" si="30"/>
        <v>3.6205680221979772</v>
      </c>
      <c r="M102" s="24">
        <f t="shared" ref="M102" si="31">(M114-M115)/ABS(M115) * 100</f>
        <v>6.1418504487439778</v>
      </c>
      <c r="N102" s="24">
        <f t="shared" ref="N102:O102" si="32">IFERROR((N114-N115)/N115 * 100,"-")</f>
        <v>-0.26911648488450374</v>
      </c>
      <c r="O102" s="24">
        <f t="shared" si="32"/>
        <v>-2.273324262486506</v>
      </c>
      <c r="P102" s="24">
        <f t="shared" ref="P102" si="33">(P114-P115)/ABS(P115) * 100</f>
        <v>16.172347100902705</v>
      </c>
      <c r="Q102" s="24">
        <f t="shared" ref="Q102:R102" si="34">IFERROR((Q114-Q115)/Q115 * 100,"-")</f>
        <v>42.631608155594648</v>
      </c>
      <c r="R102" s="24">
        <f t="shared" si="34"/>
        <v>-0.6104748867945109</v>
      </c>
      <c r="S102" s="25">
        <f t="shared" ref="S102" si="35">(S114-S115)/ABS(S115) * 100</f>
        <v>0.54402363562986433</v>
      </c>
    </row>
    <row r="103" spans="1:19" s="19" customFormat="1" ht="37.5" customHeight="1" x14ac:dyDescent="0.2">
      <c r="A103" s="26" t="str">
        <f>CONCATENATE("Variação de "&amp;TEXT(A110,"MMMM")&amp;" de "&amp;YEAR(A110)&amp;" /  igual mês do ano anterior")</f>
        <v>Variação de agosto de 2023 /  igual mês do ano anterior</v>
      </c>
      <c r="B103" s="24"/>
      <c r="C103" s="24">
        <f t="shared" ref="C103:E103" si="36">IFERROR((C114-C116)/C116*100,"-")</f>
        <v>3.8314423402660531</v>
      </c>
      <c r="D103" s="24">
        <f>IFERROR((D114-D116)/ABS(D116)*100,"-")</f>
        <v>3.9393276904547614</v>
      </c>
      <c r="E103" s="24">
        <f t="shared" si="36"/>
        <v>9.6509115527983198</v>
      </c>
      <c r="F103" s="24">
        <f t="shared" ref="F103" si="37">IFERROR((F114-F116)/F116*100,"-")</f>
        <v>-1.7645048258774665</v>
      </c>
      <c r="G103" s="24">
        <f t="shared" ref="G103" si="38">IFERROR((G114-G116)/ABS(G116)*100,"-")</f>
        <v>6.1949786650198693</v>
      </c>
      <c r="H103" s="24">
        <f t="shared" ref="H103:I103" si="39">IFERROR((H114-H116)/H116*100,"-")</f>
        <v>0.82667448909749741</v>
      </c>
      <c r="I103" s="24" t="str">
        <f t="shared" si="39"/>
        <v>-</v>
      </c>
      <c r="J103" s="24">
        <f t="shared" ref="J103" si="40">IFERROR((J114-J116)/ABS(J116)*100,"-")</f>
        <v>10.210309930133837</v>
      </c>
      <c r="K103" s="24">
        <f t="shared" ref="K103:L103" si="41">IFERROR((K114-K116)/K116*100,"-")</f>
        <v>0.83101223256027701</v>
      </c>
      <c r="L103" s="24">
        <f t="shared" si="41"/>
        <v>-36.135571013239939</v>
      </c>
      <c r="M103" s="24">
        <f t="shared" ref="M103" si="42">IFERROR((M114-M116)/ABS(M116)*100,"-")</f>
        <v>-11.454138626709193</v>
      </c>
      <c r="N103" s="24">
        <f t="shared" ref="N103:O103" si="43">IFERROR((N114-N116)/N116*100,"-")</f>
        <v>15.900646154437434</v>
      </c>
      <c r="O103" s="24">
        <f t="shared" si="43"/>
        <v>-14.118213390475157</v>
      </c>
      <c r="P103" s="24">
        <f t="shared" ref="P103" si="44">IFERROR((P114-P116)/ABS(P116)*100,"-")</f>
        <v>-2.2762636780549395</v>
      </c>
      <c r="Q103" s="24">
        <f t="shared" ref="Q103:R103" si="45">IFERROR((Q114-Q116)/Q116*100,"-")</f>
        <v>-6.4946957350417751</v>
      </c>
      <c r="R103" s="24">
        <f t="shared" si="45"/>
        <v>23.323097151659269</v>
      </c>
      <c r="S103" s="25">
        <f t="shared" ref="S103" si="46">IFERROR((S114-S116)/ABS(S116)*100,"-")</f>
        <v>-3.6070623102434731</v>
      </c>
    </row>
    <row r="104" spans="1:19" ht="47.25" customHeight="1" thickBot="1" x14ac:dyDescent="0.3">
      <c r="A104" s="27" t="str">
        <f>CONCATENATE("Variação acumulada no ano "&amp;YEAR(A110)," até "&amp;TEXT(A110,"MMMM")&amp;"/ igual período do ano anterior")</f>
        <v>Variação acumulada no ano 2023 até agosto/ igual período do ano anterior</v>
      </c>
      <c r="B104" s="28"/>
      <c r="C104" s="28">
        <f t="shared" ref="C104:E104" si="47">IFERROR((C117-C118)/C118 * 100,"-")</f>
        <v>4.0787962057699252</v>
      </c>
      <c r="D104" s="28">
        <f>IFERROR((D117-D118)/ABS(D118) * 100,"-")</f>
        <v>4.0930378017122715</v>
      </c>
      <c r="E104" s="28">
        <f t="shared" si="47"/>
        <v>7.5809678110093284</v>
      </c>
      <c r="F104" s="28">
        <f t="shared" ref="F104" si="48">IFERROR((F117-F118)/F118 * 100,"-")</f>
        <v>0.33914837946911169</v>
      </c>
      <c r="G104" s="28">
        <f t="shared" ref="G104" si="49">IFERROR((G117-G118)/ABS(G118) * 100,"-")</f>
        <v>-5.8925891199275169</v>
      </c>
      <c r="H104" s="28">
        <f t="shared" ref="H104:I104" si="50">IFERROR((H117-H118)/H118 * 100,"-")</f>
        <v>0.78286316501317077</v>
      </c>
      <c r="I104" s="28" t="str">
        <f t="shared" si="50"/>
        <v>-</v>
      </c>
      <c r="J104" s="28">
        <f t="shared" ref="J104" si="51">IFERROR((J117-J118)/ABS(J118) * 100,"-")</f>
        <v>14.51380952859874</v>
      </c>
      <c r="K104" s="28">
        <f t="shared" ref="K104:L104" si="52">IFERROR((K117-K118)/K118 * 100,"-")</f>
        <v>-5.7218080673286016</v>
      </c>
      <c r="L104" s="28">
        <f t="shared" si="52"/>
        <v>-11.631149981117911</v>
      </c>
      <c r="M104" s="28">
        <f t="shared" ref="M104" si="53">IFERROR((M117-M118)/ABS(M118) * 100,"-")</f>
        <v>-10.987083533738094</v>
      </c>
      <c r="N104" s="28">
        <f t="shared" ref="N104:O104" si="54">IFERROR((N117-N118)/N118 * 100,"-")</f>
        <v>19.612170185827804</v>
      </c>
      <c r="O104" s="28">
        <f t="shared" si="54"/>
        <v>-9.0254083258484865</v>
      </c>
      <c r="P104" s="28">
        <f t="shared" ref="P104" si="55">IFERROR((P117-P118)/ABS(P118) * 100,"-")</f>
        <v>-13.03110290228048</v>
      </c>
      <c r="Q104" s="28">
        <f t="shared" ref="Q104:R104" si="56">IFERROR((Q117-Q118)/Q118 * 100,"-")</f>
        <v>-10.010426766748809</v>
      </c>
      <c r="R104" s="28">
        <f t="shared" si="56"/>
        <v>93.751840109590091</v>
      </c>
      <c r="S104" s="29">
        <f t="shared" ref="S104" si="57">IFERROR((S117-S118)/ABS(S118) * 100,"-")</f>
        <v>-1.4264624444755769</v>
      </c>
    </row>
    <row r="105" spans="1:19" x14ac:dyDescent="0.25">
      <c r="A105" s="58" t="s">
        <v>37</v>
      </c>
      <c r="B105" s="41"/>
      <c r="C105" s="41"/>
      <c r="D105" s="41"/>
      <c r="E105" s="41"/>
    </row>
    <row r="106" spans="1:19" x14ac:dyDescent="0.25">
      <c r="A106" s="62" t="s">
        <v>43</v>
      </c>
      <c r="B106" s="42"/>
      <c r="C106" s="42"/>
      <c r="D106" s="42"/>
      <c r="E106" s="42"/>
    </row>
    <row r="107" spans="1:19" x14ac:dyDescent="0.25">
      <c r="A107" s="59" t="s">
        <v>1</v>
      </c>
      <c r="B107" s="31"/>
      <c r="C107" s="31"/>
      <c r="D107" s="31"/>
      <c r="E107" s="31"/>
    </row>
    <row r="108" spans="1:19" x14ac:dyDescent="0.25">
      <c r="A108" s="30"/>
      <c r="B108" s="31"/>
      <c r="C108" s="31"/>
      <c r="D108" s="31"/>
      <c r="E108" s="31"/>
    </row>
    <row r="109" spans="1:19" x14ac:dyDescent="0.25">
      <c r="A109" s="131" t="s">
        <v>13</v>
      </c>
      <c r="B109" s="132"/>
      <c r="C109" s="132"/>
      <c r="D109" s="132"/>
      <c r="E109" s="132"/>
    </row>
    <row r="110" spans="1:19" x14ac:dyDescent="0.25">
      <c r="A110" s="133">
        <v>45139</v>
      </c>
      <c r="B110" s="134"/>
      <c r="C110" s="134"/>
      <c r="D110" s="134"/>
      <c r="E110" s="134"/>
    </row>
    <row r="111" spans="1:19" x14ac:dyDescent="0.25">
      <c r="A111" s="32"/>
      <c r="B111" s="6"/>
      <c r="C111" s="6"/>
      <c r="D111" s="6"/>
      <c r="E111" s="6"/>
    </row>
    <row r="112" spans="1:19" x14ac:dyDescent="0.25">
      <c r="A112" s="32"/>
      <c r="B112" s="6"/>
      <c r="C112" s="6"/>
      <c r="D112" s="6"/>
      <c r="E112" s="6"/>
    </row>
    <row r="113" spans="1:19" hidden="1" x14ac:dyDescent="0.25">
      <c r="A113" s="32"/>
      <c r="B113" s="6"/>
      <c r="C113" s="6"/>
      <c r="D113" s="6"/>
      <c r="E113" s="6"/>
    </row>
    <row r="114" spans="1:19" hidden="1" x14ac:dyDescent="0.25">
      <c r="A114" s="33">
        <f>A110</f>
        <v>45139</v>
      </c>
      <c r="B114" s="34"/>
      <c r="C114" s="63">
        <f>VLOOKUP(YEAR($A$110)&amp;MONTH($A$110),dados!$A$4:$AE$14734,5,FALSE)</f>
        <v>104.30128999999999</v>
      </c>
      <c r="D114" s="63">
        <f>VLOOKUP(YEAR($A$110)&amp;MONTH($A$110),dados!$A$4:$AE$14734,6,FALSE)</f>
        <v>109.44410000000001</v>
      </c>
      <c r="E114" s="63">
        <f>VLOOKUP(YEAR($A$110)&amp;MONTH($A$110),dados!$A$4:$AE$14734,7,FALSE)</f>
        <v>110.84626</v>
      </c>
      <c r="F114" s="63">
        <f>VLOOKUP(YEAR($A$110)&amp;MONTH($A$110),dados!$A$4:$AE$14734,8,FALSE)</f>
        <v>107.92234999999999</v>
      </c>
      <c r="G114" s="63">
        <f>VLOOKUP(YEAR($A$110)&amp;MONTH($A$110),dados!$A$4:$AE$14734,9,FALSE)</f>
        <v>102.67847</v>
      </c>
      <c r="H114" s="63">
        <f>VLOOKUP(YEAR($A$110)&amp;MONTH($A$110),dados!$A$4:$AE$14734,10,FALSE)</f>
        <v>103.11544000000001</v>
      </c>
      <c r="I114" s="63" t="str">
        <f>VLOOKUP(YEAR($A$110)&amp;MONTH($A$110),dados!$A$4:$AE$14734,11,FALSE)</f>
        <v>-</v>
      </c>
      <c r="J114" s="63">
        <f>VLOOKUP(YEAR($A$110)&amp;MONTH($A$110),dados!$A$4:$AE$14734,12,FALSE)</f>
        <v>120.21108</v>
      </c>
      <c r="K114" s="63">
        <f>VLOOKUP(YEAR($A$110)&amp;MONTH($A$110),dados!$A$4:$AE$14734,13,FALSE)</f>
        <v>117.89896</v>
      </c>
      <c r="L114" s="63">
        <f>VLOOKUP(YEAR($A$110)&amp;MONTH($A$110),dados!$A$4:$AE$14734,14,FALSE)</f>
        <v>79.139669999999995</v>
      </c>
      <c r="M114" s="63">
        <f>VLOOKUP(YEAR($A$110)&amp;MONTH($A$110),dados!$A$4:$AE$14734,15,FALSE)</f>
        <v>94.139330000000001</v>
      </c>
      <c r="N114" s="63">
        <f>VLOOKUP(YEAR($A$110)&amp;MONTH($A$110),dados!$A$4:$AE$14734,16,FALSE)</f>
        <v>124.84681999999999</v>
      </c>
      <c r="O114" s="63">
        <f>VLOOKUP(YEAR($A$110)&amp;MONTH($A$110),dados!$A$4:$AE$14734,17,FALSE)</f>
        <v>97.624179999999996</v>
      </c>
      <c r="P114" s="63">
        <f>VLOOKUP(YEAR($A$110)&amp;MONTH($A$110),dados!$A$4:$AE$14734,18,FALSE)</f>
        <v>98.664640000000006</v>
      </c>
      <c r="Q114" s="63">
        <f>VLOOKUP(YEAR($A$110)&amp;MONTH($A$110),dados!$A$4:$AE$14734,19,FALSE)</f>
        <v>105.88982</v>
      </c>
      <c r="R114" s="63">
        <f>VLOOKUP(YEAR($A$110)&amp;MONTH($A$110),dados!$A$4:$AE$14734,20,FALSE)</f>
        <v>148.41640000000001</v>
      </c>
      <c r="S114" s="63">
        <f>VLOOKUP(YEAR($A$110)&amp;MONTH($A$110),dados!$A$4:$AE$14734,21,FALSE)</f>
        <v>105.18407000000001</v>
      </c>
    </row>
    <row r="115" spans="1:19" hidden="1" x14ac:dyDescent="0.25">
      <c r="A115" s="33">
        <f>EDATE(A110,-1)</f>
        <v>45108</v>
      </c>
      <c r="B115" s="34"/>
      <c r="C115" s="63">
        <f>VLOOKUP(YEAR($A$115)&amp;MONTH($A$115),dados!$A$4:$AE$14734,5,FALSE)</f>
        <v>102.57938</v>
      </c>
      <c r="D115" s="63">
        <f>VLOOKUP(YEAR($A$115)&amp;MONTH($A$115),dados!$A$4:$AE$14734,6,FALSE)</f>
        <v>106.13692</v>
      </c>
      <c r="E115" s="63">
        <f>VLOOKUP(YEAR($A$115)&amp;MONTH($A$115),dados!$A$4:$AE$14734,7,FALSE)</f>
        <v>113.71982</v>
      </c>
      <c r="F115" s="63">
        <f>VLOOKUP(YEAR($A$115)&amp;MONTH($A$115),dados!$A$4:$AE$14734,8,FALSE)</f>
        <v>97.907330000000002</v>
      </c>
      <c r="G115" s="63">
        <f>VLOOKUP(YEAR($A$115)&amp;MONTH($A$115),dados!$A$4:$AE$14734,9,FALSE)</f>
        <v>99.455889999999997</v>
      </c>
      <c r="H115" s="63">
        <f>VLOOKUP(YEAR($A$115)&amp;MONTH($A$115),dados!$A$4:$AE$14734,10,FALSE)</f>
        <v>86.027379999999994</v>
      </c>
      <c r="I115" s="63" t="str">
        <f>VLOOKUP(YEAR($A$115)&amp;MONTH($A$115),dados!$A$4:$AE$14734,11,FALSE)</f>
        <v>-</v>
      </c>
      <c r="J115" s="63">
        <f>VLOOKUP(YEAR($A$115)&amp;MONTH($A$115),dados!$A$4:$AE$14734,12,FALSE)</f>
        <v>104.88531</v>
      </c>
      <c r="K115" s="63">
        <f>VLOOKUP(YEAR($A$115)&amp;MONTH($A$115),dados!$A$4:$AE$14734,13,FALSE)</f>
        <v>104.57470000000001</v>
      </c>
      <c r="L115" s="63">
        <f>VLOOKUP(YEAR($A$115)&amp;MONTH($A$115),dados!$A$4:$AE$14734,14,FALSE)</f>
        <v>76.374480000000005</v>
      </c>
      <c r="M115" s="63">
        <f>VLOOKUP(YEAR($A$115)&amp;MONTH($A$115),dados!$A$4:$AE$14734,15,FALSE)</f>
        <v>88.691999999999993</v>
      </c>
      <c r="N115" s="63">
        <f>VLOOKUP(YEAR($A$115)&amp;MONTH($A$115),dados!$A$4:$AE$14734,16,FALSE)</f>
        <v>125.18371</v>
      </c>
      <c r="O115" s="63">
        <f>VLOOKUP(YEAR($A$115)&amp;MONTH($A$115),dados!$A$4:$AE$14734,17,FALSE)</f>
        <v>99.895120000000006</v>
      </c>
      <c r="P115" s="63">
        <f>VLOOKUP(YEAR($A$115)&amp;MONTH($A$115),dados!$A$4:$AE$14734,18,FALSE)</f>
        <v>84.929540000000003</v>
      </c>
      <c r="Q115" s="63">
        <f>VLOOKUP(YEAR($A$115)&amp;MONTH($A$115),dados!$A$4:$AE$14734,19,FALSE)</f>
        <v>74.240080000000006</v>
      </c>
      <c r="R115" s="63">
        <f>VLOOKUP(YEAR($A$115)&amp;MONTH($A$115),dados!$A$4:$AE$14734,20,FALSE)</f>
        <v>149.32801000000001</v>
      </c>
      <c r="S115" s="63">
        <f>VLOOKUP(YEAR($A$115)&amp;MONTH($A$115),dados!$A$4:$AE$14734,21,FALSE)</f>
        <v>104.61494</v>
      </c>
    </row>
    <row r="116" spans="1:19" hidden="1" x14ac:dyDescent="0.25">
      <c r="A116" s="35">
        <f>EDATE(A110,-12)</f>
        <v>44774</v>
      </c>
      <c r="B116" s="34"/>
      <c r="C116" s="63">
        <f>VLOOKUP(YEAR($A$116)&amp;MONTH($A$116),dados!$A$4:$AE$14734,5,FALSE)</f>
        <v>100.45251</v>
      </c>
      <c r="D116" s="63">
        <f>VLOOKUP(YEAR($A$116)&amp;MONTH($A$116),dados!$A$4:$AE$14734,6,FALSE)</f>
        <v>105.29613999999999</v>
      </c>
      <c r="E116" s="63">
        <f>VLOOKUP(YEAR($A$116)&amp;MONTH($A$116),dados!$A$4:$AE$14734,7,FALSE)</f>
        <v>101.09014000000001</v>
      </c>
      <c r="F116" s="63">
        <f>VLOOKUP(YEAR($A$116)&amp;MONTH($A$116),dados!$A$4:$AE$14734,8,FALSE)</f>
        <v>109.86085</v>
      </c>
      <c r="G116" s="63">
        <f>VLOOKUP(YEAR($A$116)&amp;MONTH($A$116),dados!$A$4:$AE$14734,9,FALSE)</f>
        <v>96.688630000000003</v>
      </c>
      <c r="H116" s="63">
        <f>VLOOKUP(YEAR($A$116)&amp;MONTH($A$116),dados!$A$4:$AE$14734,10,FALSE)</f>
        <v>102.27</v>
      </c>
      <c r="I116" s="63" t="str">
        <f>VLOOKUP(YEAR($A$116)&amp;MONTH($A$116),dados!$A$4:$AE$14734,11,FALSE)</f>
        <v>-</v>
      </c>
      <c r="J116" s="63">
        <f>VLOOKUP(YEAR($A$116)&amp;MONTH($A$116),dados!$A$4:$AE$14734,12,FALSE)</f>
        <v>109.07426</v>
      </c>
      <c r="K116" s="63">
        <f>VLOOKUP(YEAR($A$116)&amp;MONTH($A$116),dados!$A$4:$AE$14734,13,FALSE)</f>
        <v>116.92728</v>
      </c>
      <c r="L116" s="63">
        <f>VLOOKUP(YEAR($A$116)&amp;MONTH($A$116),dados!$A$4:$AE$14734,14,FALSE)</f>
        <v>123.91822999999999</v>
      </c>
      <c r="M116" s="63">
        <f>VLOOKUP(YEAR($A$116)&amp;MONTH($A$116),dados!$A$4:$AE$14734,15,FALSE)</f>
        <v>106.31703</v>
      </c>
      <c r="N116" s="63">
        <f>VLOOKUP(YEAR($A$116)&amp;MONTH($A$116),dados!$A$4:$AE$14734,16,FALSE)</f>
        <v>107.71883</v>
      </c>
      <c r="O116" s="63">
        <f>VLOOKUP(YEAR($A$116)&amp;MONTH($A$116),dados!$A$4:$AE$14734,17,FALSE)</f>
        <v>113.67274</v>
      </c>
      <c r="P116" s="63">
        <f>VLOOKUP(YEAR($A$116)&amp;MONTH($A$116),dados!$A$4:$AE$14734,18,FALSE)</f>
        <v>100.96281999999999</v>
      </c>
      <c r="Q116" s="63">
        <f>VLOOKUP(YEAR($A$116)&amp;MONTH($A$116),dados!$A$4:$AE$14734,19,FALSE)</f>
        <v>113.24472</v>
      </c>
      <c r="R116" s="63">
        <f>VLOOKUP(YEAR($A$116)&amp;MONTH($A$116),dados!$A$4:$AE$14734,20,FALSE)</f>
        <v>120.34761</v>
      </c>
      <c r="S116" s="63">
        <f>VLOOKUP(YEAR($A$116)&amp;MONTH($A$116),dados!$A$4:$AE$14734,21,FALSE)</f>
        <v>109.12009999999999</v>
      </c>
    </row>
    <row r="117" spans="1:19" hidden="1" x14ac:dyDescent="0.25">
      <c r="A117" s="35" t="str">
        <f>CONCATENATE("Ano de "&amp;(YEAR(A114)&amp;" acumulado até "&amp;(TEXT(A114,"MMMM"))))</f>
        <v>Ano de 2023 acumulado até agosto</v>
      </c>
      <c r="B117" s="34"/>
      <c r="C117" s="63">
        <f>VLOOKUP(YEAR($A$110)&amp;MONTH($A$110),dados_acumulados!$A$4:$AE$14734,5,FALSE)</f>
        <v>818.51665000000003</v>
      </c>
      <c r="D117" s="63">
        <f>VLOOKUP(YEAR($A$110)&amp;MONTH($A$110),dados_acumulados!$A$4:$AE$14734,6,FALSE)</f>
        <v>810.21249000000012</v>
      </c>
      <c r="E117" s="63">
        <f>VLOOKUP(YEAR($A$110)&amp;MONTH($A$110),dados_acumulados!$A$4:$AE$14734,7,FALSE)</f>
        <v>834.00423999999998</v>
      </c>
      <c r="F117" s="63">
        <f>VLOOKUP(YEAR($A$110)&amp;MONTH($A$110),dados_acumulados!$A$4:$AE$14734,8,FALSE)</f>
        <v>784.39168999999993</v>
      </c>
      <c r="G117" s="63">
        <f>VLOOKUP(YEAR($A$110)&amp;MONTH($A$110),dados_acumulados!$A$4:$AE$14734,9,FALSE)</f>
        <v>760.93326999999999</v>
      </c>
      <c r="H117" s="63">
        <f>VLOOKUP(YEAR($A$110)&amp;MONTH($A$110),dados_acumulados!$A$4:$AE$14734,10,FALSE)</f>
        <v>782.2387500000001</v>
      </c>
      <c r="I117" s="63">
        <f>VLOOKUP(YEAR($A$110)&amp;MONTH($A$110),dados_acumulados!$A$4:$AE$14734,11,FALSE)</f>
        <v>0</v>
      </c>
      <c r="J117" s="63">
        <f>VLOOKUP(YEAR($A$110)&amp;MONTH($A$110),dados_acumulados!$A$4:$AE$14734,12,FALSE)</f>
        <v>871.03744000000006</v>
      </c>
      <c r="K117" s="63">
        <f>VLOOKUP(YEAR($A$110)&amp;MONTH($A$110),dados_acumulados!$A$4:$AE$14734,13,FALSE)</f>
        <v>719.19421999999997</v>
      </c>
      <c r="L117" s="63">
        <f>VLOOKUP(YEAR($A$110)&amp;MONTH($A$110),dados_acumulados!$A$4:$AE$14734,14,FALSE)</f>
        <v>625.41683</v>
      </c>
      <c r="M117" s="63">
        <f>VLOOKUP(YEAR($A$110)&amp;MONTH($A$110),dados_acumulados!$A$4:$AE$14734,15,FALSE)</f>
        <v>731.11519999999996</v>
      </c>
      <c r="N117" s="63">
        <f>VLOOKUP(YEAR($A$110)&amp;MONTH($A$110),dados_acumulados!$A$4:$AE$14734,16,FALSE)</f>
        <v>946.81268</v>
      </c>
      <c r="O117" s="63">
        <f>VLOOKUP(YEAR($A$110)&amp;MONTH($A$110),dados_acumulados!$A$4:$AE$14734,17,FALSE)</f>
        <v>746.34658000000002</v>
      </c>
      <c r="P117" s="63">
        <f>VLOOKUP(YEAR($A$110)&amp;MONTH($A$110),dados_acumulados!$A$4:$AE$14734,18,FALSE)</f>
        <v>724.96882999999991</v>
      </c>
      <c r="Q117" s="63">
        <f>VLOOKUP(YEAR($A$110)&amp;MONTH($A$110),dados_acumulados!$A$4:$AE$14734,19,FALSE)</f>
        <v>721.70196999999996</v>
      </c>
      <c r="R117" s="63">
        <f>VLOOKUP(YEAR($A$110)&amp;MONTH($A$110),dados_acumulados!$A$4:$AE$14734,20,FALSE)</f>
        <v>1262.2733400000002</v>
      </c>
      <c r="S117" s="63">
        <f>VLOOKUP(YEAR($A$110)&amp;MONTH($A$110),dados_acumulados!$A$4:$AE$14734,21,FALSE)</f>
        <v>787.89315000000011</v>
      </c>
    </row>
    <row r="118" spans="1:19" hidden="1" x14ac:dyDescent="0.25">
      <c r="A118" s="35" t="str">
        <f>CONCATENATE("Ano de "&amp;(YEAR(A116)&amp;" acumulado até "&amp;(TEXT(A116,"MMMM"))))</f>
        <v>Ano de 2022 acumulado até agosto</v>
      </c>
      <c r="B118" s="34"/>
      <c r="C118" s="63">
        <f>VLOOKUP(YEAR($A$116)&amp;MONTH($A$116),dados_acumulados!$A$4:$AE$14734,5,FALSE)</f>
        <v>786.43938999999989</v>
      </c>
      <c r="D118" s="63">
        <f>VLOOKUP(YEAR($A$116)&amp;MONTH($A$116),dados_acumulados!$A$4:$AE$14734,6,FALSE)</f>
        <v>778.35416000000009</v>
      </c>
      <c r="E118" s="63">
        <f>VLOOKUP(YEAR($A$116)&amp;MONTH($A$116),dados_acumulados!$A$4:$AE$14734,7,FALSE)</f>
        <v>775.23399999999992</v>
      </c>
      <c r="F118" s="63">
        <f>VLOOKUP(YEAR($A$116)&amp;MONTH($A$116),dados_acumulados!$A$4:$AE$14734,8,FALSE)</f>
        <v>781.74043000000006</v>
      </c>
      <c r="G118" s="63">
        <f>VLOOKUP(YEAR($A$116)&amp;MONTH($A$116),dados_acumulados!$A$4:$AE$14734,9,FALSE)</f>
        <v>808.57953999999995</v>
      </c>
      <c r="H118" s="63">
        <f>VLOOKUP(YEAR($A$116)&amp;MONTH($A$116),dados_acumulados!$A$4:$AE$14734,10,FALSE)</f>
        <v>776.16246000000001</v>
      </c>
      <c r="I118" s="63">
        <f>VLOOKUP(YEAR($A$116)&amp;MONTH($A$116),dados_acumulados!$A$4:$AE$14734,11,FALSE)</f>
        <v>0</v>
      </c>
      <c r="J118" s="63">
        <f>VLOOKUP(YEAR($A$116)&amp;MONTH($A$116),dados_acumulados!$A$4:$AE$14734,12,FALSE)</f>
        <v>760.63964999999996</v>
      </c>
      <c r="K118" s="63">
        <f>VLOOKUP(YEAR($A$116)&amp;MONTH($A$116),dados_acumulados!$A$4:$AE$14734,13,FALSE)</f>
        <v>762.84261000000004</v>
      </c>
      <c r="L118" s="63">
        <f>VLOOKUP(YEAR($A$116)&amp;MONTH($A$116),dados_acumulados!$A$4:$AE$14734,14,FALSE)</f>
        <v>707.73448999999994</v>
      </c>
      <c r="M118" s="63">
        <f>VLOOKUP(YEAR($A$116)&amp;MONTH($A$116),dados_acumulados!$A$4:$AE$14734,15,FALSE)</f>
        <v>821.35854999999992</v>
      </c>
      <c r="N118" s="63">
        <f>VLOOKUP(YEAR($A$116)&amp;MONTH($A$116),dados_acumulados!$A$4:$AE$14734,16,FALSE)</f>
        <v>791.56885</v>
      </c>
      <c r="O118" s="63">
        <f>VLOOKUP(YEAR($A$116)&amp;MONTH($A$116),dados_acumulados!$A$4:$AE$14734,17,FALSE)</f>
        <v>820.39014000000009</v>
      </c>
      <c r="P118" s="63">
        <f>VLOOKUP(YEAR($A$116)&amp;MONTH($A$116),dados_acumulados!$A$4:$AE$14734,18,FALSE)</f>
        <v>833.59551999999996</v>
      </c>
      <c r="Q118" s="63">
        <f>VLOOKUP(YEAR($A$116)&amp;MONTH($A$116),dados_acumulados!$A$4:$AE$14734,19,FALSE)</f>
        <v>801.98399000000006</v>
      </c>
      <c r="R118" s="63">
        <f>VLOOKUP(YEAR($A$116)&amp;MONTH($A$116),dados_acumulados!$A$4:$AE$14734,20,FALSE)</f>
        <v>651.48973000000001</v>
      </c>
      <c r="S118" s="63">
        <f>VLOOKUP(YEAR($A$116)&amp;MONTH($A$116),dados_acumulados!$A$4:$AE$14734,21,FALSE)</f>
        <v>799.29479000000003</v>
      </c>
    </row>
    <row r="119" spans="1:19" hidden="1" x14ac:dyDescent="0.25">
      <c r="A119" s="32"/>
      <c r="B119" s="6"/>
      <c r="C119" s="6"/>
      <c r="D119" s="6"/>
      <c r="E119" s="6"/>
    </row>
    <row r="120" spans="1:19" x14ac:dyDescent="0.25">
      <c r="A120" s="32"/>
      <c r="B120" s="6"/>
      <c r="C120" s="6"/>
      <c r="D120" s="6"/>
      <c r="E120" s="6"/>
    </row>
    <row r="121" spans="1:19" x14ac:dyDescent="0.25">
      <c r="A121" s="32"/>
      <c r="B121" s="6"/>
      <c r="C121" s="6"/>
      <c r="D121" s="6"/>
      <c r="E121" s="6"/>
    </row>
    <row r="122" spans="1:19" x14ac:dyDescent="0.25">
      <c r="A122" s="32"/>
      <c r="B122" s="6"/>
      <c r="C122" s="6"/>
      <c r="D122" s="6"/>
      <c r="E122" s="6"/>
    </row>
    <row r="123" spans="1:19" x14ac:dyDescent="0.25">
      <c r="A123" s="32"/>
      <c r="B123" s="6"/>
      <c r="C123" s="6"/>
      <c r="D123" s="6"/>
      <c r="E123" s="6"/>
    </row>
  </sheetData>
  <autoFilter ref="A4:E42" xr:uid="{00000000-0009-0000-0000-000004000000}">
    <filterColumn colId="2" showButton="0"/>
    <filterColumn colId="3" showButton="0"/>
  </autoFilter>
  <mergeCells count="5">
    <mergeCell ref="A109:E109"/>
    <mergeCell ref="A110:E110"/>
    <mergeCell ref="B4:B5"/>
    <mergeCell ref="A4:A5"/>
    <mergeCell ref="C4:S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400-000000000000}">
          <x14:formula1>
            <xm:f>controle!$E$3:$E$82</xm:f>
          </x14:formula1>
          <xm:sqref>A110:E110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controle</vt:lpstr>
      <vt:lpstr>dados</vt:lpstr>
      <vt:lpstr>dados_acumulados</vt:lpstr>
      <vt:lpstr>painel_industria</vt:lpstr>
      <vt:lpstr>indicadores_industriais</vt:lpstr>
      <vt:lpstr>lista_comercio</vt:lpstr>
      <vt:lpstr>lista_ind</vt:lpstr>
      <vt:lpstr>lista_serviços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Monteiro de Oliveira</dc:creator>
  <cp:lastModifiedBy>Samara Sthefani Oliveira Marques Martins</cp:lastModifiedBy>
  <dcterms:created xsi:type="dcterms:W3CDTF">2019-09-30T17:40:22Z</dcterms:created>
  <dcterms:modified xsi:type="dcterms:W3CDTF">2024-01-08T20:19:29Z</dcterms:modified>
</cp:coreProperties>
</file>